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esyf\Documents\Xperso\perso\blog\fred\realisations\"/>
    </mc:Choice>
  </mc:AlternateContent>
  <xr:revisionPtr revIDLastSave="0" documentId="13_ncr:1_{3AB1F564-597E-47D5-B662-02E6A72D49E9}" xr6:coauthVersionLast="36" xr6:coauthVersionMax="36" xr10:uidLastSave="{00000000-0000-0000-0000-000000000000}"/>
  <bookViews>
    <workbookView xWindow="480" yWindow="300" windowWidth="18570" windowHeight="7950" tabRatio="347" firstSheet="1" activeTab="1" xr2:uid="{00000000-000D-0000-FFFF-FFFF00000000}"/>
  </bookViews>
  <sheets>
    <sheet name="Agregats" sheetId="12" state="hidden" r:id="rId1"/>
    <sheet name="VUE" sheetId="3" r:id="rId2"/>
    <sheet name="calculs" sheetId="10" state="hidden" r:id="rId3"/>
    <sheet name="LISTE" sheetId="1" r:id="rId4"/>
    <sheet name="Transco" sheetId="8" state="hidden" r:id="rId5"/>
    <sheet name="Code INPI" sheetId="9" state="hidden" r:id="rId6"/>
    <sheet name="Aide" sheetId="2" r:id="rId7"/>
    <sheet name="Feuil1" sheetId="7" state="hidden" r:id="rId8"/>
  </sheets>
  <definedNames>
    <definedName name="_xlnm._FilterDatabase" localSheetId="4" hidden="1">Transco!$A$1:$F$400</definedName>
    <definedName name="Agregats" localSheetId="0">#REF!</definedName>
    <definedName name="Agregats">#REF!</definedName>
    <definedName name="Agrégats">calculs!$B$1:$OK$9</definedName>
    <definedName name="Agrégats2">calculs!$B$1:$OK$9</definedName>
    <definedName name="Calculs">calculs!$A$1:$OK$9</definedName>
    <definedName name="Vertical" localSheetId="0">#REF!</definedName>
    <definedName name="Vertical">#REF!</definedName>
    <definedName name="_xlnm.Print_Area" localSheetId="0">Agregats!$A$1:$G$335</definedName>
    <definedName name="_xlnm.Print_Area" localSheetId="1">VUE!$A$1:$G$365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8" i="3" l="1"/>
  <c r="B57" i="3" l="1"/>
  <c r="B51" i="3"/>
  <c r="B52" i="3"/>
  <c r="B53" i="3"/>
  <c r="B54" i="3"/>
  <c r="B55" i="3"/>
  <c r="B56" i="3"/>
  <c r="B50" i="3"/>
  <c r="B2" i="1"/>
  <c r="B271" i="1"/>
  <c r="B115" i="1"/>
  <c r="B116" i="1"/>
  <c r="B117" i="1"/>
  <c r="B118" i="1"/>
  <c r="B119" i="1"/>
  <c r="B120" i="1"/>
  <c r="B121" i="1"/>
  <c r="B122" i="1"/>
  <c r="B123" i="1"/>
  <c r="B10" i="1"/>
  <c r="B11" i="1"/>
  <c r="B124" i="1"/>
  <c r="B12" i="1"/>
  <c r="B13" i="1"/>
  <c r="B14" i="1"/>
  <c r="B125" i="1"/>
  <c r="B272" i="1"/>
  <c r="B126" i="1"/>
  <c r="B249" i="1"/>
  <c r="B127" i="1"/>
  <c r="B128" i="1"/>
  <c r="B273" i="1"/>
  <c r="B129" i="1"/>
  <c r="B130" i="1"/>
  <c r="B15" i="1"/>
  <c r="B16" i="1"/>
  <c r="B131" i="1"/>
  <c r="B92" i="1"/>
  <c r="B17" i="1"/>
  <c r="B132" i="1"/>
  <c r="B18" i="1"/>
  <c r="B274" i="1"/>
  <c r="B133" i="1"/>
  <c r="B134" i="1"/>
  <c r="B135" i="1"/>
  <c r="B136" i="1"/>
  <c r="B137" i="1"/>
  <c r="B275" i="1"/>
  <c r="B98" i="1"/>
  <c r="B99" i="1"/>
  <c r="B276" i="1"/>
  <c r="B100" i="1"/>
  <c r="B19" i="1"/>
  <c r="B138" i="1"/>
  <c r="B20" i="1"/>
  <c r="B139" i="1"/>
  <c r="B140" i="1"/>
  <c r="B277" i="1"/>
  <c r="B101" i="1"/>
  <c r="B102" i="1"/>
  <c r="B21" i="1"/>
  <c r="B22" i="1"/>
  <c r="B23" i="1"/>
  <c r="B24" i="1"/>
  <c r="B25" i="1"/>
  <c r="B26" i="1"/>
  <c r="B141" i="1"/>
  <c r="B142" i="1"/>
  <c r="B278" i="1"/>
  <c r="B143" i="1"/>
  <c r="B27" i="1"/>
  <c r="B250" i="1"/>
  <c r="B251" i="1"/>
  <c r="B279" i="1"/>
  <c r="B103" i="1"/>
  <c r="B280" i="1"/>
  <c r="B28" i="1"/>
  <c r="B29" i="1"/>
  <c r="B144" i="1"/>
  <c r="B252" i="1"/>
  <c r="B145" i="1"/>
  <c r="B281" i="1"/>
  <c r="B282" i="1"/>
  <c r="B146" i="1"/>
  <c r="B283" i="1"/>
  <c r="B30" i="1"/>
  <c r="B31" i="1"/>
  <c r="B147" i="1"/>
  <c r="B148" i="1"/>
  <c r="B149" i="1"/>
  <c r="B32" i="1"/>
  <c r="B33" i="1"/>
  <c r="B253" i="1"/>
  <c r="B34" i="1"/>
  <c r="B35" i="1"/>
  <c r="B36" i="1"/>
  <c r="B37" i="1"/>
  <c r="B38" i="1"/>
  <c r="B93" i="1"/>
  <c r="B104" i="1"/>
  <c r="B39" i="1"/>
  <c r="B150" i="1"/>
  <c r="B284" i="1"/>
  <c r="B151" i="1"/>
  <c r="B152" i="1"/>
  <c r="B285" i="1"/>
  <c r="B254" i="1"/>
  <c r="B153" i="1"/>
  <c r="B154" i="1"/>
  <c r="B286" i="1"/>
  <c r="B40" i="1"/>
  <c r="B287" i="1"/>
  <c r="B288" i="1"/>
  <c r="B155" i="1"/>
  <c r="B156" i="1"/>
  <c r="B157" i="1"/>
  <c r="B158" i="1"/>
  <c r="B159" i="1"/>
  <c r="B160" i="1"/>
  <c r="B161" i="1"/>
  <c r="B162" i="1"/>
  <c r="B163" i="1"/>
  <c r="B41" i="1"/>
  <c r="B105" i="1"/>
  <c r="B164" i="1"/>
  <c r="B165" i="1"/>
  <c r="B166" i="1"/>
  <c r="B6" i="1"/>
  <c r="B42" i="1"/>
  <c r="B43" i="1"/>
  <c r="B44" i="1"/>
  <c r="B167" i="1"/>
  <c r="B45" i="1"/>
  <c r="B289" i="1"/>
  <c r="B168" i="1"/>
  <c r="B169" i="1"/>
  <c r="B170" i="1"/>
  <c r="B290" i="1"/>
  <c r="B171" i="1"/>
  <c r="B255" i="1"/>
  <c r="B172" i="1"/>
  <c r="B3" i="1"/>
  <c r="B46" i="1"/>
  <c r="B47" i="1"/>
  <c r="B291" i="1"/>
  <c r="B292" i="1"/>
  <c r="B173" i="1"/>
  <c r="B174" i="1"/>
  <c r="B175" i="1"/>
  <c r="B176" i="1"/>
  <c r="B48" i="1"/>
  <c r="B49" i="1"/>
  <c r="B293" i="1"/>
  <c r="B294" i="1"/>
  <c r="B256" i="1"/>
  <c r="B177" i="1"/>
  <c r="B178" i="1"/>
  <c r="B179" i="1"/>
  <c r="B180" i="1"/>
  <c r="B181" i="1"/>
  <c r="B182" i="1"/>
  <c r="B295" i="1"/>
  <c r="B50" i="1"/>
  <c r="B183" i="1"/>
  <c r="B51" i="1"/>
  <c r="B52" i="1"/>
  <c r="B184" i="1"/>
  <c r="B296" i="1"/>
  <c r="B185" i="1"/>
  <c r="B297" i="1"/>
  <c r="B53" i="1"/>
  <c r="B54" i="1"/>
  <c r="B55" i="1"/>
  <c r="B94" i="1"/>
  <c r="B7" i="1"/>
  <c r="B56" i="1"/>
  <c r="B57" i="1"/>
  <c r="B186" i="1"/>
  <c r="B298" i="1"/>
  <c r="B257" i="1"/>
  <c r="B258" i="1"/>
  <c r="B187" i="1"/>
  <c r="B58" i="1"/>
  <c r="B259" i="1"/>
  <c r="B299" i="1"/>
  <c r="B300" i="1"/>
  <c r="B188" i="1"/>
  <c r="B301" i="1"/>
  <c r="B59" i="1"/>
  <c r="B189" i="1"/>
  <c r="B302" i="1"/>
  <c r="B60" i="1"/>
  <c r="B190" i="1"/>
  <c r="B303" i="1"/>
  <c r="B260" i="1"/>
  <c r="B191" i="1"/>
  <c r="B192" i="1"/>
  <c r="B193" i="1"/>
  <c r="B194" i="1"/>
  <c r="B195" i="1"/>
  <c r="B304" i="1"/>
  <c r="B305" i="1"/>
  <c r="B261" i="1"/>
  <c r="B196" i="1"/>
  <c r="B197" i="1"/>
  <c r="B262" i="1"/>
  <c r="B306" i="1"/>
  <c r="B307" i="1"/>
  <c r="B308" i="1"/>
  <c r="B309" i="1"/>
  <c r="B310" i="1"/>
  <c r="B198" i="1"/>
  <c r="B199" i="1"/>
  <c r="B200" i="1"/>
  <c r="B61" i="1"/>
  <c r="B311" i="1"/>
  <c r="B312" i="1"/>
  <c r="B106" i="1"/>
  <c r="B4" i="1"/>
  <c r="B62" i="1"/>
  <c r="B201" i="1"/>
  <c r="B95" i="1"/>
  <c r="B202" i="1"/>
  <c r="B313" i="1"/>
  <c r="B314" i="1"/>
  <c r="B315" i="1"/>
  <c r="B316" i="1"/>
  <c r="B263" i="1"/>
  <c r="B264" i="1"/>
  <c r="B203" i="1"/>
  <c r="B204" i="1"/>
  <c r="B317" i="1"/>
  <c r="B205" i="1"/>
  <c r="B206" i="1"/>
  <c r="B207" i="1"/>
  <c r="B63" i="1"/>
  <c r="B208" i="1"/>
  <c r="B107" i="1"/>
  <c r="B318" i="1"/>
  <c r="B108" i="1"/>
  <c r="B209" i="1"/>
  <c r="B319" i="1"/>
  <c r="B210" i="1"/>
  <c r="B64" i="1"/>
  <c r="B65" i="1"/>
  <c r="B320" i="1"/>
  <c r="B265" i="1"/>
  <c r="B211" i="1"/>
  <c r="B321" i="1"/>
  <c r="B322" i="1"/>
  <c r="B323" i="1"/>
  <c r="B324" i="1"/>
  <c r="B212" i="1"/>
  <c r="B213" i="1"/>
  <c r="B214" i="1"/>
  <c r="B215" i="1"/>
  <c r="B109" i="1"/>
  <c r="B216" i="1"/>
  <c r="B217" i="1"/>
  <c r="B218" i="1"/>
  <c r="B66" i="1"/>
  <c r="B219" i="1"/>
  <c r="B67" i="1"/>
  <c r="B8" i="1"/>
  <c r="B5" i="1"/>
  <c r="B68" i="1"/>
  <c r="B325" i="1"/>
  <c r="B266" i="1"/>
  <c r="B220" i="1"/>
  <c r="B326" i="1"/>
  <c r="B327" i="1"/>
  <c r="B221" i="1"/>
  <c r="B328" i="1"/>
  <c r="B329" i="1"/>
  <c r="B222" i="1"/>
  <c r="B223" i="1"/>
  <c r="B224" i="1"/>
  <c r="B225" i="1"/>
  <c r="B110" i="1"/>
  <c r="B96" i="1"/>
  <c r="B97" i="1"/>
  <c r="B330" i="1"/>
  <c r="B331" i="1"/>
  <c r="B111" i="1"/>
  <c r="B226" i="1"/>
  <c r="B69" i="1"/>
  <c r="B332" i="1"/>
  <c r="B267" i="1"/>
  <c r="B227" i="1"/>
  <c r="B333" i="1"/>
  <c r="B268" i="1"/>
  <c r="B228" i="1"/>
  <c r="B229" i="1"/>
  <c r="B230" i="1"/>
  <c r="B112" i="1"/>
  <c r="B334" i="1"/>
  <c r="B231" i="1"/>
  <c r="B70" i="1"/>
  <c r="B71" i="1"/>
  <c r="B232" i="1"/>
  <c r="B72" i="1"/>
  <c r="B233" i="1"/>
  <c r="B234" i="1"/>
  <c r="B235" i="1"/>
  <c r="B269" i="1"/>
  <c r="B236" i="1"/>
  <c r="B237" i="1"/>
  <c r="B270" i="1"/>
  <c r="B238" i="1"/>
  <c r="B239" i="1"/>
  <c r="B240" i="1"/>
  <c r="B113" i="1"/>
  <c r="B241" i="1"/>
  <c r="B73" i="1"/>
  <c r="B74" i="1"/>
  <c r="B335" i="1"/>
  <c r="B75" i="1"/>
  <c r="B242" i="1"/>
  <c r="B243" i="1"/>
  <c r="B76" i="1"/>
  <c r="B244" i="1"/>
  <c r="B77" i="1"/>
  <c r="B114" i="1"/>
  <c r="B78" i="1"/>
  <c r="B245" i="1"/>
  <c r="B79" i="1"/>
  <c r="B336" i="1"/>
  <c r="B9" i="1"/>
  <c r="B80" i="1"/>
  <c r="B81" i="1"/>
  <c r="B82" i="1"/>
  <c r="B83" i="1"/>
  <c r="B84" i="1"/>
  <c r="B85" i="1"/>
  <c r="B86" i="1"/>
  <c r="B87" i="1"/>
  <c r="B88" i="1"/>
  <c r="B89" i="1"/>
  <c r="B90" i="1"/>
  <c r="B91" i="1"/>
  <c r="B246" i="1"/>
  <c r="B247" i="1"/>
  <c r="B248" i="1"/>
  <c r="B337" i="1"/>
  <c r="P448" i="12" l="1"/>
  <c r="P447" i="12"/>
  <c r="P446" i="12"/>
  <c r="P445" i="12"/>
  <c r="P444" i="12"/>
  <c r="P443" i="12"/>
  <c r="P442" i="12"/>
  <c r="P441" i="12"/>
  <c r="P440" i="12"/>
  <c r="P439" i="12"/>
  <c r="P438" i="12"/>
  <c r="P437" i="12"/>
  <c r="P436" i="12"/>
  <c r="P435" i="12"/>
  <c r="P434" i="12"/>
  <c r="P433" i="12"/>
  <c r="P432" i="12"/>
  <c r="P431" i="12"/>
  <c r="P430" i="12"/>
  <c r="P429" i="12"/>
  <c r="P428" i="12"/>
  <c r="P427" i="12"/>
  <c r="P426" i="12"/>
  <c r="P425" i="12"/>
  <c r="P424" i="12"/>
  <c r="P423" i="12"/>
  <c r="P422" i="12"/>
  <c r="P421" i="12"/>
  <c r="P420" i="12"/>
  <c r="P419" i="12"/>
  <c r="P418" i="12"/>
  <c r="P417" i="12"/>
  <c r="P416" i="12"/>
  <c r="P415" i="12"/>
  <c r="P414" i="12"/>
  <c r="P413" i="12"/>
  <c r="P412" i="12"/>
  <c r="P411" i="12"/>
  <c r="P410" i="12"/>
  <c r="P409" i="12"/>
  <c r="P408" i="12"/>
  <c r="P407" i="12"/>
  <c r="P406" i="12"/>
  <c r="P405" i="12"/>
  <c r="P404" i="12"/>
  <c r="P403" i="12"/>
  <c r="P402" i="12"/>
  <c r="P401" i="12"/>
  <c r="P400" i="12"/>
  <c r="P399" i="12"/>
  <c r="P398" i="12"/>
  <c r="P397" i="12"/>
  <c r="P396" i="12"/>
  <c r="P395" i="12"/>
  <c r="P394" i="12"/>
  <c r="P393" i="12"/>
  <c r="P392" i="12"/>
  <c r="P391" i="12"/>
  <c r="P390" i="12"/>
  <c r="P389" i="12"/>
  <c r="P388" i="12"/>
  <c r="P387" i="12"/>
  <c r="P386" i="12"/>
  <c r="P385" i="12"/>
  <c r="P384" i="12"/>
  <c r="P383" i="12"/>
  <c r="P382" i="12"/>
  <c r="P381" i="12"/>
  <c r="P380" i="12"/>
  <c r="P379" i="12"/>
  <c r="P378" i="12"/>
  <c r="P377" i="12"/>
  <c r="P376" i="12"/>
  <c r="P375" i="12"/>
  <c r="P374" i="12"/>
  <c r="P373" i="12"/>
  <c r="P372" i="12"/>
  <c r="P371" i="12"/>
  <c r="P370" i="12"/>
  <c r="P369" i="12"/>
  <c r="P368" i="12"/>
  <c r="P367" i="12"/>
  <c r="P366" i="12"/>
  <c r="P365" i="12"/>
  <c r="P364" i="12"/>
  <c r="P363" i="12"/>
  <c r="P362" i="12"/>
  <c r="P361" i="12"/>
  <c r="P360" i="12"/>
  <c r="P359" i="12"/>
  <c r="P358" i="12"/>
  <c r="P357" i="12"/>
  <c r="P356" i="12"/>
  <c r="P355" i="12"/>
  <c r="P354" i="12"/>
  <c r="P353" i="12"/>
  <c r="P352" i="12"/>
  <c r="P351" i="12"/>
  <c r="P350" i="12"/>
  <c r="P349" i="12"/>
  <c r="P348" i="12"/>
  <c r="P347" i="12"/>
  <c r="P346" i="12"/>
  <c r="P345" i="12"/>
  <c r="P344" i="12"/>
  <c r="P343" i="12"/>
  <c r="P342" i="12"/>
  <c r="P341" i="12"/>
  <c r="P340" i="12"/>
  <c r="P339" i="12"/>
  <c r="P338" i="12"/>
  <c r="P337" i="12"/>
  <c r="P336" i="12"/>
  <c r="P335" i="12"/>
  <c r="P334" i="12"/>
  <c r="G334" i="12"/>
  <c r="F334" i="12"/>
  <c r="E334" i="12"/>
  <c r="P333" i="12"/>
  <c r="G333" i="12"/>
  <c r="F333" i="12"/>
  <c r="E333" i="12"/>
  <c r="P332" i="12"/>
  <c r="G332" i="12"/>
  <c r="P331" i="12"/>
  <c r="G331" i="12"/>
  <c r="P330" i="12"/>
  <c r="G330" i="12"/>
  <c r="F330" i="12"/>
  <c r="E330" i="12"/>
  <c r="P329" i="12"/>
  <c r="G329" i="12"/>
  <c r="F329" i="12"/>
  <c r="E329" i="12"/>
  <c r="P328" i="12"/>
  <c r="G328" i="12"/>
  <c r="F328" i="12"/>
  <c r="E328" i="12"/>
  <c r="P327" i="12"/>
  <c r="G327" i="12"/>
  <c r="F327" i="12"/>
  <c r="E327" i="12"/>
  <c r="P326" i="12"/>
  <c r="G326" i="12"/>
  <c r="F326" i="12"/>
  <c r="E326" i="12"/>
  <c r="P325" i="12"/>
  <c r="G325" i="12"/>
  <c r="F325" i="12"/>
  <c r="E325" i="12"/>
  <c r="P324" i="12"/>
  <c r="G324" i="12"/>
  <c r="F324" i="12"/>
  <c r="E324" i="12"/>
  <c r="P323" i="12"/>
  <c r="G323" i="12"/>
  <c r="F323" i="12"/>
  <c r="E323" i="12"/>
  <c r="P322" i="12"/>
  <c r="G322" i="12"/>
  <c r="P321" i="12"/>
  <c r="G321" i="12"/>
  <c r="P320" i="12"/>
  <c r="G320" i="12"/>
  <c r="P319" i="12"/>
  <c r="G319" i="12"/>
  <c r="F319" i="12"/>
  <c r="E319" i="12"/>
  <c r="P318" i="12"/>
  <c r="G318" i="12"/>
  <c r="F318" i="12"/>
  <c r="E318" i="12"/>
  <c r="P317" i="12"/>
  <c r="G317" i="12"/>
  <c r="P316" i="12"/>
  <c r="G316" i="12"/>
  <c r="P315" i="12"/>
  <c r="G315" i="12"/>
  <c r="F315" i="12"/>
  <c r="E315" i="12"/>
  <c r="P314" i="12"/>
  <c r="G314" i="12"/>
  <c r="P313" i="12"/>
  <c r="G313" i="12"/>
  <c r="F313" i="12"/>
  <c r="E313" i="12"/>
  <c r="P312" i="12"/>
  <c r="G312" i="12"/>
  <c r="P311" i="12"/>
  <c r="G311" i="12"/>
  <c r="F311" i="12"/>
  <c r="E311" i="12"/>
  <c r="P310" i="12"/>
  <c r="G310" i="12"/>
  <c r="F310" i="12"/>
  <c r="E310" i="12"/>
  <c r="P309" i="12"/>
  <c r="G309" i="12"/>
  <c r="F309" i="12"/>
  <c r="E309" i="12"/>
  <c r="P308" i="12"/>
  <c r="G308" i="12"/>
  <c r="P307" i="12"/>
  <c r="G307" i="12"/>
  <c r="P306" i="12"/>
  <c r="G306" i="12"/>
  <c r="F306" i="12"/>
  <c r="E306" i="12"/>
  <c r="P305" i="12"/>
  <c r="G305" i="12"/>
  <c r="P304" i="12"/>
  <c r="G304" i="12"/>
  <c r="F304" i="12"/>
  <c r="E304" i="12"/>
  <c r="P303" i="12"/>
  <c r="G303" i="12"/>
  <c r="F303" i="12"/>
  <c r="E303" i="12"/>
  <c r="P302" i="12"/>
  <c r="G302" i="12"/>
  <c r="F302" i="12"/>
  <c r="E302" i="12"/>
  <c r="P301" i="12"/>
  <c r="G301" i="12"/>
  <c r="P300" i="12"/>
  <c r="G300" i="12"/>
  <c r="P299" i="12"/>
  <c r="G299" i="12"/>
  <c r="P298" i="12"/>
  <c r="G298" i="12"/>
  <c r="F298" i="12"/>
  <c r="E298" i="12"/>
  <c r="P297" i="12"/>
  <c r="G297" i="12"/>
  <c r="P296" i="12"/>
  <c r="G296" i="12"/>
  <c r="P295" i="12"/>
  <c r="G295" i="12"/>
  <c r="F295" i="12"/>
  <c r="E295" i="12"/>
  <c r="P294" i="12"/>
  <c r="G294" i="12"/>
  <c r="P293" i="12"/>
  <c r="G293" i="12"/>
  <c r="F293" i="12"/>
  <c r="E293" i="12"/>
  <c r="P292" i="12"/>
  <c r="G292" i="12"/>
  <c r="F292" i="12"/>
  <c r="E292" i="12"/>
  <c r="P291" i="12"/>
  <c r="G291" i="12"/>
  <c r="F291" i="12"/>
  <c r="E291" i="12"/>
  <c r="P290" i="12"/>
  <c r="G290" i="12"/>
  <c r="F290" i="12"/>
  <c r="E290" i="12"/>
  <c r="P289" i="12"/>
  <c r="G289" i="12"/>
  <c r="P288" i="12"/>
  <c r="G288" i="12"/>
  <c r="P287" i="12"/>
  <c r="G287" i="12"/>
  <c r="F287" i="12"/>
  <c r="E287" i="12"/>
  <c r="P286" i="12"/>
  <c r="G286" i="12"/>
  <c r="P285" i="12"/>
  <c r="G285" i="12"/>
  <c r="F285" i="12"/>
  <c r="E285" i="12"/>
  <c r="P284" i="12"/>
  <c r="G284" i="12"/>
  <c r="F284" i="12"/>
  <c r="E284" i="12"/>
  <c r="P283" i="12"/>
  <c r="G283" i="12"/>
  <c r="F283" i="12"/>
  <c r="E283" i="12"/>
  <c r="P282" i="12"/>
  <c r="G282" i="12"/>
  <c r="F282" i="12"/>
  <c r="E282" i="12"/>
  <c r="P281" i="12"/>
  <c r="G281" i="12"/>
  <c r="F281" i="12"/>
  <c r="E281" i="12"/>
  <c r="P280" i="12"/>
  <c r="G280" i="12"/>
  <c r="F280" i="12"/>
  <c r="E280" i="12"/>
  <c r="P279" i="12"/>
  <c r="G279" i="12"/>
  <c r="F279" i="12"/>
  <c r="E279" i="12"/>
  <c r="P278" i="12"/>
  <c r="G278" i="12"/>
  <c r="F278" i="12"/>
  <c r="E278" i="12"/>
  <c r="P277" i="12"/>
  <c r="P276" i="12"/>
  <c r="P275" i="12"/>
  <c r="G275" i="12"/>
  <c r="P274" i="12"/>
  <c r="G274" i="12"/>
  <c r="F274" i="12"/>
  <c r="E274" i="12"/>
  <c r="P273" i="12"/>
  <c r="P272" i="12"/>
  <c r="G272" i="12"/>
  <c r="F272" i="12"/>
  <c r="E272" i="12"/>
  <c r="P271" i="12"/>
  <c r="P270" i="12"/>
  <c r="G270" i="12"/>
  <c r="F270" i="12"/>
  <c r="E270" i="12"/>
  <c r="P269" i="12"/>
  <c r="P268" i="12"/>
  <c r="G268" i="12"/>
  <c r="F268" i="12"/>
  <c r="E268" i="12"/>
  <c r="P267" i="12"/>
  <c r="G267" i="12"/>
  <c r="F267" i="12"/>
  <c r="E267" i="12"/>
  <c r="P266" i="12"/>
  <c r="G266" i="12"/>
  <c r="F266" i="12"/>
  <c r="E266" i="12"/>
  <c r="P265" i="12"/>
  <c r="G265" i="12"/>
  <c r="F265" i="12"/>
  <c r="E265" i="12"/>
  <c r="P264" i="12"/>
  <c r="P263" i="12"/>
  <c r="P262" i="12"/>
  <c r="G262" i="12"/>
  <c r="F262" i="12"/>
  <c r="E262" i="12"/>
  <c r="P261" i="12"/>
  <c r="G261" i="12"/>
  <c r="F261" i="12"/>
  <c r="E261" i="12"/>
  <c r="P260" i="12"/>
  <c r="P259" i="12"/>
  <c r="P258" i="12"/>
  <c r="G258" i="12"/>
  <c r="F258" i="12"/>
  <c r="E258" i="12"/>
  <c r="P257" i="12"/>
  <c r="G257" i="12"/>
  <c r="F257" i="12"/>
  <c r="E257" i="12"/>
  <c r="P256" i="12"/>
  <c r="G256" i="12"/>
  <c r="F256" i="12"/>
  <c r="E256" i="12"/>
  <c r="P255" i="12"/>
  <c r="G255" i="12"/>
  <c r="F255" i="12"/>
  <c r="E255" i="12"/>
  <c r="P254" i="12"/>
  <c r="G254" i="12"/>
  <c r="F254" i="12"/>
  <c r="E254" i="12"/>
  <c r="P253" i="12"/>
  <c r="G253" i="12"/>
  <c r="F253" i="12"/>
  <c r="E253" i="12"/>
  <c r="P252" i="12"/>
  <c r="P251" i="12"/>
  <c r="P250" i="12"/>
  <c r="G250" i="12"/>
  <c r="F250" i="12"/>
  <c r="E250" i="12"/>
  <c r="P249" i="12"/>
  <c r="P248" i="12"/>
  <c r="G248" i="12"/>
  <c r="F248" i="12"/>
  <c r="E248" i="12"/>
  <c r="P247" i="12"/>
  <c r="G247" i="12"/>
  <c r="F247" i="12"/>
  <c r="E247" i="12"/>
  <c r="P246" i="12"/>
  <c r="G246" i="12"/>
  <c r="F246" i="12"/>
  <c r="E246" i="12"/>
  <c r="P245" i="12"/>
  <c r="G245" i="12"/>
  <c r="F245" i="12"/>
  <c r="E245" i="12"/>
  <c r="P244" i="12"/>
  <c r="G244" i="12"/>
  <c r="F244" i="12"/>
  <c r="E244" i="12"/>
  <c r="P243" i="12"/>
  <c r="P242" i="12"/>
  <c r="F242" i="12"/>
  <c r="E242" i="12"/>
  <c r="P241" i="12"/>
  <c r="F241" i="12"/>
  <c r="E241" i="12"/>
  <c r="P240" i="12"/>
  <c r="G240" i="12"/>
  <c r="F240" i="12"/>
  <c r="E240" i="12"/>
  <c r="P239" i="12"/>
  <c r="F239" i="12"/>
  <c r="E239" i="12"/>
  <c r="P238" i="12"/>
  <c r="F238" i="12"/>
  <c r="E238" i="12"/>
  <c r="P237" i="12"/>
  <c r="G237" i="12"/>
  <c r="F237" i="12"/>
  <c r="E237" i="12"/>
  <c r="F236" i="12"/>
  <c r="E236" i="12"/>
  <c r="F235" i="12"/>
  <c r="E235" i="12"/>
  <c r="G234" i="12"/>
  <c r="F234" i="12"/>
  <c r="E234" i="12"/>
  <c r="F233" i="12"/>
  <c r="E233" i="12"/>
  <c r="F232" i="12"/>
  <c r="E232" i="12"/>
  <c r="G231" i="12"/>
  <c r="F231" i="12"/>
  <c r="E231" i="12"/>
  <c r="G220" i="12"/>
  <c r="F220" i="12"/>
  <c r="E220" i="12"/>
  <c r="G219" i="12"/>
  <c r="F219" i="12"/>
  <c r="E219" i="12"/>
  <c r="G218" i="12"/>
  <c r="F218" i="12"/>
  <c r="E218" i="12"/>
  <c r="G216" i="12"/>
  <c r="F216" i="12"/>
  <c r="C34" i="12" s="1"/>
  <c r="E216" i="12"/>
  <c r="P212" i="12"/>
  <c r="P211" i="12"/>
  <c r="P210" i="12"/>
  <c r="P209" i="12"/>
  <c r="P208" i="12"/>
  <c r="G208" i="12"/>
  <c r="P207" i="12"/>
  <c r="G207" i="12"/>
  <c r="F207" i="12"/>
  <c r="E207" i="12"/>
  <c r="P206" i="12"/>
  <c r="P205" i="12"/>
  <c r="G205" i="12"/>
  <c r="F205" i="12"/>
  <c r="E205" i="12"/>
  <c r="P204" i="12"/>
  <c r="P203" i="12"/>
  <c r="G203" i="12"/>
  <c r="F203" i="12"/>
  <c r="E203" i="12"/>
  <c r="P202" i="12"/>
  <c r="P201" i="12"/>
  <c r="G201" i="12"/>
  <c r="F201" i="12"/>
  <c r="E201" i="12"/>
  <c r="P200" i="12"/>
  <c r="G200" i="12"/>
  <c r="F200" i="12"/>
  <c r="E200" i="12"/>
  <c r="P199" i="12"/>
  <c r="G199" i="12"/>
  <c r="F199" i="12"/>
  <c r="E199" i="12"/>
  <c r="P198" i="12"/>
  <c r="G198" i="12"/>
  <c r="F198" i="12"/>
  <c r="E198" i="12"/>
  <c r="P197" i="12"/>
  <c r="G197" i="12"/>
  <c r="F197" i="12"/>
  <c r="E197" i="12"/>
  <c r="P196" i="12"/>
  <c r="G196" i="12"/>
  <c r="D33" i="12" s="1"/>
  <c r="D32" i="12" s="1"/>
  <c r="F196" i="12"/>
  <c r="E196" i="12"/>
  <c r="P195" i="12"/>
  <c r="P194" i="12"/>
  <c r="P193" i="12"/>
  <c r="G193" i="12"/>
  <c r="F193" i="12"/>
  <c r="E193" i="12"/>
  <c r="P192" i="12"/>
  <c r="G192" i="12"/>
  <c r="F192" i="12"/>
  <c r="E192" i="12"/>
  <c r="P191" i="12"/>
  <c r="G191" i="12"/>
  <c r="F191" i="12"/>
  <c r="E191" i="12"/>
  <c r="P190" i="12"/>
  <c r="G190" i="12"/>
  <c r="F190" i="12"/>
  <c r="E190" i="12"/>
  <c r="P189" i="12"/>
  <c r="P188" i="12"/>
  <c r="P187" i="12"/>
  <c r="P186" i="12"/>
  <c r="P185" i="12"/>
  <c r="G185" i="12"/>
  <c r="F185" i="12"/>
  <c r="E185" i="12"/>
  <c r="P184" i="12"/>
  <c r="P183" i="12"/>
  <c r="G183" i="12"/>
  <c r="F183" i="12"/>
  <c r="E183" i="12"/>
  <c r="P182" i="12"/>
  <c r="G182" i="12"/>
  <c r="F182" i="12"/>
  <c r="E182" i="12"/>
  <c r="P181" i="12"/>
  <c r="P180" i="12"/>
  <c r="G180" i="12"/>
  <c r="F180" i="12"/>
  <c r="E180" i="12"/>
  <c r="P179" i="12"/>
  <c r="G179" i="12"/>
  <c r="F179" i="12"/>
  <c r="E179" i="12"/>
  <c r="P178" i="12"/>
  <c r="P177" i="12"/>
  <c r="G177" i="12"/>
  <c r="F177" i="12"/>
  <c r="E177" i="12"/>
  <c r="P176" i="12"/>
  <c r="G176" i="12"/>
  <c r="F176" i="12"/>
  <c r="E176" i="12"/>
  <c r="E178" i="12" s="1"/>
  <c r="P175" i="12"/>
  <c r="P174" i="12"/>
  <c r="P173" i="12"/>
  <c r="P172" i="12"/>
  <c r="G172" i="12"/>
  <c r="F172" i="12"/>
  <c r="E172" i="12"/>
  <c r="P171" i="12"/>
  <c r="P170" i="12"/>
  <c r="P169" i="12"/>
  <c r="G169" i="12"/>
  <c r="F169" i="12"/>
  <c r="E169" i="12"/>
  <c r="P168" i="12"/>
  <c r="G168" i="12"/>
  <c r="F168" i="12"/>
  <c r="E168" i="12"/>
  <c r="P167" i="12"/>
  <c r="P166" i="12"/>
  <c r="G166" i="12"/>
  <c r="F166" i="12"/>
  <c r="E166" i="12"/>
  <c r="P165" i="12"/>
  <c r="P164" i="12"/>
  <c r="G164" i="12"/>
  <c r="F164" i="12"/>
  <c r="E164" i="12"/>
  <c r="P163" i="12"/>
  <c r="G163" i="12"/>
  <c r="F163" i="12"/>
  <c r="E163" i="12"/>
  <c r="P162" i="12"/>
  <c r="G162" i="12"/>
  <c r="F162" i="12"/>
  <c r="E162" i="12"/>
  <c r="P161" i="12"/>
  <c r="G161" i="12"/>
  <c r="F161" i="12"/>
  <c r="E161" i="12"/>
  <c r="P160" i="12"/>
  <c r="G160" i="12"/>
  <c r="F160" i="12"/>
  <c r="E160" i="12"/>
  <c r="P159" i="12"/>
  <c r="G159" i="12"/>
  <c r="F159" i="12"/>
  <c r="E159" i="12"/>
  <c r="P158" i="12"/>
  <c r="G158" i="12"/>
  <c r="F158" i="12"/>
  <c r="E158" i="12"/>
  <c r="P157" i="12"/>
  <c r="G157" i="12"/>
  <c r="F157" i="12"/>
  <c r="E157" i="12"/>
  <c r="P156" i="12"/>
  <c r="G156" i="12"/>
  <c r="F156" i="12"/>
  <c r="E156" i="12"/>
  <c r="P155" i="12"/>
  <c r="G155" i="12"/>
  <c r="F155" i="12"/>
  <c r="E155" i="12"/>
  <c r="P154" i="12"/>
  <c r="G154" i="12"/>
  <c r="F154" i="12"/>
  <c r="E154" i="12"/>
  <c r="P153" i="12"/>
  <c r="G153" i="12"/>
  <c r="F153" i="12"/>
  <c r="E153" i="12"/>
  <c r="P152" i="12"/>
  <c r="G152" i="12"/>
  <c r="F152" i="12"/>
  <c r="E152" i="12"/>
  <c r="P151" i="12"/>
  <c r="G151" i="12"/>
  <c r="P148" i="12"/>
  <c r="P147" i="12"/>
  <c r="P146" i="12"/>
  <c r="P145" i="12"/>
  <c r="E145" i="12"/>
  <c r="P144" i="12"/>
  <c r="E144" i="12"/>
  <c r="P143" i="12"/>
  <c r="E143" i="12"/>
  <c r="P142" i="12"/>
  <c r="G142" i="12"/>
  <c r="F142" i="12"/>
  <c r="E142" i="12"/>
  <c r="P141" i="12"/>
  <c r="P140" i="12"/>
  <c r="G140" i="12"/>
  <c r="F140" i="12"/>
  <c r="E140" i="12"/>
  <c r="P139" i="12"/>
  <c r="G139" i="12"/>
  <c r="F139" i="12"/>
  <c r="E139" i="12"/>
  <c r="P138" i="12"/>
  <c r="G138" i="12"/>
  <c r="F138" i="12"/>
  <c r="E138" i="12"/>
  <c r="P137" i="12"/>
  <c r="P136" i="12"/>
  <c r="P135" i="12"/>
  <c r="E135" i="12"/>
  <c r="P134" i="12"/>
  <c r="G134" i="12"/>
  <c r="F134" i="12"/>
  <c r="E134" i="12"/>
  <c r="P133" i="12"/>
  <c r="P132" i="12"/>
  <c r="E132" i="12"/>
  <c r="P131" i="12"/>
  <c r="G131" i="12"/>
  <c r="F131" i="12"/>
  <c r="E131" i="12"/>
  <c r="P130" i="12"/>
  <c r="E130" i="12"/>
  <c r="P129" i="12"/>
  <c r="G129" i="12"/>
  <c r="F129" i="12"/>
  <c r="E129" i="12"/>
  <c r="P128" i="12"/>
  <c r="E128" i="12"/>
  <c r="P127" i="12"/>
  <c r="G127" i="12"/>
  <c r="F127" i="12"/>
  <c r="E127" i="12"/>
  <c r="P126" i="12"/>
  <c r="E126" i="12"/>
  <c r="P125" i="12"/>
  <c r="G125" i="12"/>
  <c r="F125" i="12"/>
  <c r="E125" i="12"/>
  <c r="P124" i="12"/>
  <c r="E124" i="12"/>
  <c r="P123" i="12"/>
  <c r="F123" i="12"/>
  <c r="E123" i="12"/>
  <c r="P122" i="12"/>
  <c r="E122" i="12"/>
  <c r="P121" i="12"/>
  <c r="G121" i="12"/>
  <c r="F121" i="12"/>
  <c r="E121" i="12"/>
  <c r="P120" i="12"/>
  <c r="E120" i="12"/>
  <c r="P119" i="12"/>
  <c r="G119" i="12"/>
  <c r="F119" i="12"/>
  <c r="E119" i="12"/>
  <c r="P118" i="12"/>
  <c r="P117" i="12"/>
  <c r="P116" i="12"/>
  <c r="E116" i="12"/>
  <c r="P115" i="12"/>
  <c r="G115" i="12"/>
  <c r="F115" i="12"/>
  <c r="E115" i="12"/>
  <c r="P114" i="12"/>
  <c r="E114" i="12"/>
  <c r="P113" i="12"/>
  <c r="G113" i="12"/>
  <c r="F113" i="12"/>
  <c r="E113" i="12"/>
  <c r="P112" i="12"/>
  <c r="E112" i="12"/>
  <c r="P111" i="12"/>
  <c r="G111" i="12"/>
  <c r="F111" i="12"/>
  <c r="E111" i="12"/>
  <c r="P110" i="12"/>
  <c r="E110" i="12"/>
  <c r="P109" i="12"/>
  <c r="G109" i="12"/>
  <c r="F109" i="12"/>
  <c r="E109" i="12"/>
  <c r="P108" i="12"/>
  <c r="E108" i="12"/>
  <c r="P107" i="12"/>
  <c r="G107" i="12"/>
  <c r="F107" i="12"/>
  <c r="E107" i="12"/>
  <c r="P106" i="12"/>
  <c r="P105" i="12"/>
  <c r="P104" i="12"/>
  <c r="E104" i="12"/>
  <c r="P103" i="12"/>
  <c r="G103" i="12"/>
  <c r="F103" i="12"/>
  <c r="E103" i="12"/>
  <c r="P102" i="12"/>
  <c r="P101" i="12"/>
  <c r="E101" i="12"/>
  <c r="P100" i="12"/>
  <c r="G100" i="12"/>
  <c r="F100" i="12"/>
  <c r="E100" i="12"/>
  <c r="P99" i="12"/>
  <c r="P98" i="12"/>
  <c r="P97" i="12"/>
  <c r="E97" i="12"/>
  <c r="P96" i="12"/>
  <c r="G96" i="12"/>
  <c r="F96" i="12"/>
  <c r="E96" i="12"/>
  <c r="P95" i="12"/>
  <c r="E95" i="12"/>
  <c r="P94" i="12"/>
  <c r="G94" i="12"/>
  <c r="F94" i="12"/>
  <c r="E94" i="12"/>
  <c r="P93" i="12"/>
  <c r="E93" i="12"/>
  <c r="P92" i="12"/>
  <c r="G92" i="12"/>
  <c r="F92" i="12"/>
  <c r="E92" i="12"/>
  <c r="P91" i="12"/>
  <c r="E91" i="12"/>
  <c r="P90" i="12"/>
  <c r="G90" i="12"/>
  <c r="F90" i="12"/>
  <c r="E90" i="12"/>
  <c r="P89" i="12"/>
  <c r="E89" i="12"/>
  <c r="P88" i="12"/>
  <c r="G88" i="12"/>
  <c r="F88" i="12"/>
  <c r="E88" i="12"/>
  <c r="P87" i="12"/>
  <c r="E87" i="12"/>
  <c r="P86" i="12"/>
  <c r="G86" i="12"/>
  <c r="F86" i="12"/>
  <c r="E86" i="12"/>
  <c r="P85" i="12"/>
  <c r="P84" i="12"/>
  <c r="P83" i="12"/>
  <c r="E83" i="12"/>
  <c r="P82" i="12"/>
  <c r="G82" i="12"/>
  <c r="F82" i="12"/>
  <c r="E82" i="12"/>
  <c r="P81" i="12"/>
  <c r="E81" i="12"/>
  <c r="P80" i="12"/>
  <c r="G80" i="12"/>
  <c r="F80" i="12"/>
  <c r="E80" i="12"/>
  <c r="P79" i="12"/>
  <c r="E79" i="12"/>
  <c r="P78" i="12"/>
  <c r="G78" i="12"/>
  <c r="F78" i="12"/>
  <c r="E78" i="12"/>
  <c r="P77" i="12"/>
  <c r="E77" i="12"/>
  <c r="P76" i="12"/>
  <c r="G76" i="12"/>
  <c r="F76" i="12"/>
  <c r="E76" i="12"/>
  <c r="P75" i="12"/>
  <c r="E75" i="12"/>
  <c r="P74" i="12"/>
  <c r="G74" i="12"/>
  <c r="F74" i="12"/>
  <c r="E74" i="12"/>
  <c r="P73" i="12"/>
  <c r="E73" i="12"/>
  <c r="P72" i="12"/>
  <c r="G72" i="12"/>
  <c r="F72" i="12"/>
  <c r="E72" i="12"/>
  <c r="P71" i="12"/>
  <c r="P70" i="12"/>
  <c r="P69" i="12"/>
  <c r="E69" i="12"/>
  <c r="P68" i="12"/>
  <c r="G68" i="12"/>
  <c r="F68" i="12"/>
  <c r="E68" i="12"/>
  <c r="P67" i="12"/>
  <c r="E67" i="12"/>
  <c r="P66" i="12"/>
  <c r="G66" i="12"/>
  <c r="F66" i="12"/>
  <c r="E66" i="12"/>
  <c r="P65" i="12"/>
  <c r="E65" i="12"/>
  <c r="P64" i="12"/>
  <c r="G64" i="12"/>
  <c r="F64" i="12"/>
  <c r="E64" i="12"/>
  <c r="P63" i="12"/>
  <c r="P62" i="12"/>
  <c r="P61" i="12"/>
  <c r="E61" i="12"/>
  <c r="P60" i="12"/>
  <c r="G60" i="12"/>
  <c r="F60" i="12"/>
  <c r="E60" i="12"/>
  <c r="P59" i="12"/>
  <c r="E59" i="12"/>
  <c r="P58" i="12"/>
  <c r="G58" i="12"/>
  <c r="F58" i="12"/>
  <c r="E58" i="12"/>
  <c r="P57" i="12"/>
  <c r="E57" i="12"/>
  <c r="P56" i="12"/>
  <c r="G56" i="12"/>
  <c r="F56" i="12"/>
  <c r="E56" i="12"/>
  <c r="P55" i="12"/>
  <c r="E55" i="12"/>
  <c r="P54" i="12"/>
  <c r="G54" i="12"/>
  <c r="F54" i="12"/>
  <c r="E54" i="12"/>
  <c r="P53" i="12"/>
  <c r="E53" i="12"/>
  <c r="P52" i="12"/>
  <c r="G52" i="12"/>
  <c r="F52" i="12"/>
  <c r="E52" i="12"/>
  <c r="P51" i="12"/>
  <c r="E51" i="12"/>
  <c r="P50" i="12"/>
  <c r="G50" i="12"/>
  <c r="F50" i="12"/>
  <c r="E50" i="12"/>
  <c r="P49" i="12"/>
  <c r="P48" i="12"/>
  <c r="P47" i="12"/>
  <c r="G47" i="12"/>
  <c r="F47" i="12"/>
  <c r="E47" i="12"/>
  <c r="P46" i="12"/>
  <c r="P45" i="12"/>
  <c r="P44" i="12"/>
  <c r="P43" i="12"/>
  <c r="G43" i="12"/>
  <c r="F43" i="12"/>
  <c r="E43" i="12"/>
  <c r="P42" i="12"/>
  <c r="G42" i="12"/>
  <c r="D17" i="12" s="1"/>
  <c r="E42" i="12"/>
  <c r="P41" i="12"/>
  <c r="G41" i="12"/>
  <c r="D16" i="12" s="1"/>
  <c r="D27" i="12" s="1"/>
  <c r="P40" i="12"/>
  <c r="P9" i="12"/>
  <c r="P8" i="12"/>
  <c r="P7" i="12"/>
  <c r="P6" i="12"/>
  <c r="P3" i="12"/>
  <c r="B3" i="12"/>
  <c r="P2" i="12"/>
  <c r="P1" i="12"/>
  <c r="E41" i="12"/>
  <c r="C16" i="12" s="1"/>
  <c r="C27" i="12" s="1"/>
  <c r="O465" i="12"/>
  <c r="O464" i="12"/>
  <c r="O463" i="12"/>
  <c r="O462" i="12"/>
  <c r="O461" i="12"/>
  <c r="O460" i="12"/>
  <c r="O459" i="12"/>
  <c r="O458" i="12"/>
  <c r="O457" i="12"/>
  <c r="O456" i="12"/>
  <c r="O455" i="12"/>
  <c r="O454" i="12"/>
  <c r="O453" i="12"/>
  <c r="O452" i="12"/>
  <c r="O451" i="12"/>
  <c r="O450" i="12"/>
  <c r="O449" i="12"/>
  <c r="O448" i="12"/>
  <c r="O447" i="12"/>
  <c r="O446" i="12"/>
  <c r="O445" i="12"/>
  <c r="O444" i="12"/>
  <c r="O443" i="12"/>
  <c r="O442" i="12"/>
  <c r="O441" i="12"/>
  <c r="O440" i="12"/>
  <c r="O439" i="12"/>
  <c r="O438" i="12"/>
  <c r="O437" i="12"/>
  <c r="O436" i="12"/>
  <c r="O435" i="12"/>
  <c r="O434" i="12"/>
  <c r="O433" i="12"/>
  <c r="O432" i="12"/>
  <c r="O431" i="12"/>
  <c r="O430" i="12"/>
  <c r="O429" i="12"/>
  <c r="O428" i="12"/>
  <c r="O427" i="12"/>
  <c r="O426" i="12"/>
  <c r="O425" i="12"/>
  <c r="O424" i="12"/>
  <c r="O423" i="12"/>
  <c r="O422" i="12"/>
  <c r="O421" i="12"/>
  <c r="O420" i="12"/>
  <c r="O419" i="12"/>
  <c r="O418" i="12"/>
  <c r="O417" i="12"/>
  <c r="O416" i="12"/>
  <c r="J335" i="12"/>
  <c r="I335" i="12"/>
  <c r="N334" i="12"/>
  <c r="L334" i="12"/>
  <c r="K334" i="12"/>
  <c r="J334" i="12"/>
  <c r="M334" i="12" s="1"/>
  <c r="I334" i="12"/>
  <c r="N333" i="12"/>
  <c r="L333" i="12"/>
  <c r="K333" i="12"/>
  <c r="J333" i="12"/>
  <c r="M333" i="12" s="1"/>
  <c r="I333" i="12"/>
  <c r="N332" i="12"/>
  <c r="L332" i="12"/>
  <c r="J332" i="12"/>
  <c r="M332" i="12" s="1"/>
  <c r="I332" i="12"/>
  <c r="N331" i="12"/>
  <c r="M331" i="12"/>
  <c r="L331" i="12"/>
  <c r="J331" i="12"/>
  <c r="I331" i="12"/>
  <c r="N330" i="12"/>
  <c r="L330" i="12"/>
  <c r="K330" i="12"/>
  <c r="J330" i="12"/>
  <c r="M330" i="12" s="1"/>
  <c r="I330" i="12"/>
  <c r="N329" i="12"/>
  <c r="L329" i="12"/>
  <c r="K329" i="12"/>
  <c r="J329" i="12"/>
  <c r="M329" i="12" s="1"/>
  <c r="I329" i="12"/>
  <c r="N328" i="12"/>
  <c r="L328" i="12"/>
  <c r="K328" i="12"/>
  <c r="J328" i="12"/>
  <c r="M328" i="12" s="1"/>
  <c r="I328" i="12"/>
  <c r="N327" i="12"/>
  <c r="L327" i="12"/>
  <c r="K327" i="12"/>
  <c r="J327" i="12"/>
  <c r="M327" i="12" s="1"/>
  <c r="I327" i="12"/>
  <c r="N326" i="12"/>
  <c r="L326" i="12"/>
  <c r="K326" i="12"/>
  <c r="J326" i="12"/>
  <c r="M326" i="12" s="1"/>
  <c r="I326" i="12"/>
  <c r="N325" i="12"/>
  <c r="L325" i="12"/>
  <c r="K325" i="12"/>
  <c r="J325" i="12"/>
  <c r="M325" i="12" s="1"/>
  <c r="I325" i="12"/>
  <c r="N324" i="12"/>
  <c r="L324" i="12"/>
  <c r="K324" i="12"/>
  <c r="J324" i="12"/>
  <c r="M324" i="12" s="1"/>
  <c r="I324" i="12"/>
  <c r="N323" i="12"/>
  <c r="L323" i="12"/>
  <c r="K323" i="12"/>
  <c r="J323" i="12"/>
  <c r="M323" i="12" s="1"/>
  <c r="I323" i="12"/>
  <c r="N322" i="12"/>
  <c r="M322" i="12"/>
  <c r="L322" i="12"/>
  <c r="J322" i="12"/>
  <c r="I322" i="12"/>
  <c r="N321" i="12"/>
  <c r="L321" i="12"/>
  <c r="J321" i="12"/>
  <c r="M321" i="12" s="1"/>
  <c r="I321" i="12"/>
  <c r="N320" i="12"/>
  <c r="L320" i="12"/>
  <c r="J320" i="12"/>
  <c r="M320" i="12" s="1"/>
  <c r="I320" i="12"/>
  <c r="M319" i="12"/>
  <c r="L319" i="12"/>
  <c r="K319" i="12"/>
  <c r="N319" i="12" s="1"/>
  <c r="J319" i="12"/>
  <c r="I319" i="12"/>
  <c r="M318" i="12"/>
  <c r="L318" i="12"/>
  <c r="K318" i="12"/>
  <c r="N318" i="12" s="1"/>
  <c r="J318" i="12"/>
  <c r="I318" i="12"/>
  <c r="N317" i="12"/>
  <c r="M317" i="12"/>
  <c r="L317" i="12"/>
  <c r="J317" i="12"/>
  <c r="I317" i="12"/>
  <c r="N316" i="12"/>
  <c r="M316" i="12"/>
  <c r="L316" i="12"/>
  <c r="J316" i="12"/>
  <c r="I316" i="12"/>
  <c r="M315" i="12"/>
  <c r="L315" i="12"/>
  <c r="K315" i="12"/>
  <c r="N315" i="12" s="1"/>
  <c r="J315" i="12"/>
  <c r="I315" i="12"/>
  <c r="N314" i="12"/>
  <c r="M314" i="12"/>
  <c r="L314" i="12"/>
  <c r="J314" i="12"/>
  <c r="I314" i="12"/>
  <c r="N313" i="12"/>
  <c r="L313" i="12"/>
  <c r="K313" i="12"/>
  <c r="J313" i="12"/>
  <c r="M313" i="12" s="1"/>
  <c r="I313" i="12"/>
  <c r="N312" i="12"/>
  <c r="L312" i="12"/>
  <c r="J312" i="12"/>
  <c r="M312" i="12" s="1"/>
  <c r="I312" i="12"/>
  <c r="M311" i="12"/>
  <c r="L311" i="12"/>
  <c r="K311" i="12"/>
  <c r="N311" i="12" s="1"/>
  <c r="J311" i="12"/>
  <c r="I311" i="12"/>
  <c r="M310" i="12"/>
  <c r="L310" i="12"/>
  <c r="K310" i="12"/>
  <c r="N310" i="12" s="1"/>
  <c r="J310" i="12"/>
  <c r="I310" i="12"/>
  <c r="M309" i="12"/>
  <c r="L309" i="12"/>
  <c r="K309" i="12"/>
  <c r="N309" i="12" s="1"/>
  <c r="J309" i="12"/>
  <c r="I309" i="12"/>
  <c r="N308" i="12"/>
  <c r="L308" i="12"/>
  <c r="J308" i="12"/>
  <c r="M308" i="12" s="1"/>
  <c r="I308" i="12"/>
  <c r="N307" i="12"/>
  <c r="L307" i="12"/>
  <c r="J307" i="12"/>
  <c r="M307" i="12" s="1"/>
  <c r="I307" i="12"/>
  <c r="M306" i="12"/>
  <c r="L306" i="12"/>
  <c r="K306" i="12"/>
  <c r="N306" i="12" s="1"/>
  <c r="J306" i="12"/>
  <c r="I306" i="12"/>
  <c r="N305" i="12"/>
  <c r="L305" i="12"/>
  <c r="J305" i="12"/>
  <c r="M305" i="12" s="1"/>
  <c r="I305" i="12"/>
  <c r="N304" i="12"/>
  <c r="L304" i="12"/>
  <c r="K304" i="12"/>
  <c r="J304" i="12"/>
  <c r="M304" i="12" s="1"/>
  <c r="I304" i="12"/>
  <c r="N303" i="12"/>
  <c r="L303" i="12"/>
  <c r="K303" i="12"/>
  <c r="J303" i="12"/>
  <c r="M303" i="12" s="1"/>
  <c r="I303" i="12"/>
  <c r="N302" i="12"/>
  <c r="L302" i="12"/>
  <c r="K302" i="12"/>
  <c r="J302" i="12"/>
  <c r="M302" i="12" s="1"/>
  <c r="I302" i="12"/>
  <c r="N301" i="12"/>
  <c r="L301" i="12"/>
  <c r="J301" i="12"/>
  <c r="M301" i="12" s="1"/>
  <c r="I301" i="12"/>
  <c r="N300" i="12"/>
  <c r="L300" i="12"/>
  <c r="J300" i="12"/>
  <c r="M300" i="12" s="1"/>
  <c r="I300" i="12"/>
  <c r="N299" i="12"/>
  <c r="L299" i="12"/>
  <c r="J299" i="12"/>
  <c r="M299" i="12" s="1"/>
  <c r="I299" i="12"/>
  <c r="M298" i="12"/>
  <c r="L298" i="12"/>
  <c r="K298" i="12"/>
  <c r="N298" i="12" s="1"/>
  <c r="J298" i="12"/>
  <c r="I298" i="12"/>
  <c r="N297" i="12"/>
  <c r="L297" i="12"/>
  <c r="J297" i="12"/>
  <c r="M297" i="12" s="1"/>
  <c r="I297" i="12"/>
  <c r="N296" i="12"/>
  <c r="M296" i="12"/>
  <c r="L296" i="12"/>
  <c r="J296" i="12"/>
  <c r="I296" i="12"/>
  <c r="M295" i="12"/>
  <c r="L295" i="12"/>
  <c r="K295" i="12"/>
  <c r="N295" i="12" s="1"/>
  <c r="J295" i="12"/>
  <c r="I295" i="12"/>
  <c r="N294" i="12"/>
  <c r="L294" i="12"/>
  <c r="J294" i="12"/>
  <c r="M294" i="12" s="1"/>
  <c r="I294" i="12"/>
  <c r="N293" i="12"/>
  <c r="L293" i="12"/>
  <c r="K293" i="12"/>
  <c r="J293" i="12"/>
  <c r="M293" i="12" s="1"/>
  <c r="I293" i="12"/>
  <c r="N292" i="12"/>
  <c r="L292" i="12"/>
  <c r="K292" i="12"/>
  <c r="J292" i="12"/>
  <c r="M292" i="12" s="1"/>
  <c r="I292" i="12"/>
  <c r="N291" i="12"/>
  <c r="L291" i="12"/>
  <c r="K291" i="12"/>
  <c r="J291" i="12"/>
  <c r="M291" i="12" s="1"/>
  <c r="I291" i="12"/>
  <c r="N290" i="12"/>
  <c r="L290" i="12"/>
  <c r="K290" i="12"/>
  <c r="J290" i="12"/>
  <c r="M290" i="12" s="1"/>
  <c r="I290" i="12"/>
  <c r="N289" i="12"/>
  <c r="M289" i="12"/>
  <c r="L289" i="12"/>
  <c r="J289" i="12"/>
  <c r="I289" i="12"/>
  <c r="N288" i="12"/>
  <c r="M288" i="12"/>
  <c r="L288" i="12"/>
  <c r="J288" i="12"/>
  <c r="I288" i="12"/>
  <c r="L287" i="12"/>
  <c r="K287" i="12"/>
  <c r="N287" i="12" s="1"/>
  <c r="J287" i="12"/>
  <c r="M287" i="12" s="1"/>
  <c r="I287" i="12"/>
  <c r="N286" i="12"/>
  <c r="M286" i="12"/>
  <c r="L286" i="12"/>
  <c r="J286" i="12"/>
  <c r="I286" i="12"/>
  <c r="M285" i="12"/>
  <c r="L285" i="12"/>
  <c r="K285" i="12"/>
  <c r="N285" i="12" s="1"/>
  <c r="J285" i="12"/>
  <c r="I285" i="12"/>
  <c r="L284" i="12"/>
  <c r="K284" i="12"/>
  <c r="N284" i="12" s="1"/>
  <c r="J284" i="12"/>
  <c r="M284" i="12" s="1"/>
  <c r="I284" i="12"/>
  <c r="M283" i="12"/>
  <c r="L283" i="12"/>
  <c r="K283" i="12"/>
  <c r="N283" i="12" s="1"/>
  <c r="J283" i="12"/>
  <c r="I283" i="12"/>
  <c r="L282" i="12"/>
  <c r="K282" i="12"/>
  <c r="N282" i="12" s="1"/>
  <c r="J282" i="12"/>
  <c r="M282" i="12" s="1"/>
  <c r="I282" i="12"/>
  <c r="M281" i="12"/>
  <c r="L281" i="12"/>
  <c r="K281" i="12"/>
  <c r="N281" i="12" s="1"/>
  <c r="J281" i="12"/>
  <c r="I281" i="12"/>
  <c r="L280" i="12"/>
  <c r="K280" i="12"/>
  <c r="N280" i="12" s="1"/>
  <c r="J280" i="12"/>
  <c r="M280" i="12" s="1"/>
  <c r="I280" i="12"/>
  <c r="M279" i="12"/>
  <c r="L279" i="12"/>
  <c r="K279" i="12"/>
  <c r="N279" i="12" s="1"/>
  <c r="J279" i="12"/>
  <c r="I279" i="12"/>
  <c r="L278" i="12"/>
  <c r="K278" i="12"/>
  <c r="N278" i="12" s="1"/>
  <c r="J278" i="12"/>
  <c r="M278" i="12" s="1"/>
  <c r="I278" i="12"/>
  <c r="N277" i="12"/>
  <c r="M277" i="12"/>
  <c r="L277" i="12"/>
  <c r="J277" i="12"/>
  <c r="I277" i="12"/>
  <c r="N276" i="12"/>
  <c r="L276" i="12"/>
  <c r="J276" i="12"/>
  <c r="M276" i="12" s="1"/>
  <c r="I276" i="12"/>
  <c r="N275" i="12"/>
  <c r="M275" i="12"/>
  <c r="L275" i="12"/>
  <c r="J275" i="12"/>
  <c r="I275" i="12"/>
  <c r="L274" i="12"/>
  <c r="K274" i="12"/>
  <c r="N274" i="12" s="1"/>
  <c r="J274" i="12"/>
  <c r="M274" i="12" s="1"/>
  <c r="I274" i="12"/>
  <c r="N273" i="12"/>
  <c r="M273" i="12"/>
  <c r="L273" i="12"/>
  <c r="J273" i="12"/>
  <c r="I273" i="12"/>
  <c r="L272" i="12"/>
  <c r="K272" i="12"/>
  <c r="N272" i="12" s="1"/>
  <c r="J272" i="12"/>
  <c r="M272" i="12" s="1"/>
  <c r="I272" i="12"/>
  <c r="N271" i="12"/>
  <c r="L271" i="12"/>
  <c r="K271" i="12"/>
  <c r="J271" i="12"/>
  <c r="M271" i="12" s="1"/>
  <c r="I271" i="12"/>
  <c r="N270" i="12"/>
  <c r="M270" i="12"/>
  <c r="L270" i="12"/>
  <c r="J270" i="12"/>
  <c r="I270" i="12"/>
  <c r="N269" i="12"/>
  <c r="L269" i="12"/>
  <c r="K269" i="12"/>
  <c r="J269" i="12"/>
  <c r="M269" i="12" s="1"/>
  <c r="I269" i="12"/>
  <c r="M268" i="12"/>
  <c r="L268" i="12"/>
  <c r="K268" i="12"/>
  <c r="N268" i="12" s="1"/>
  <c r="J268" i="12"/>
  <c r="I268" i="12"/>
  <c r="L267" i="12"/>
  <c r="K267" i="12"/>
  <c r="N267" i="12" s="1"/>
  <c r="J267" i="12"/>
  <c r="M267" i="12" s="1"/>
  <c r="I267" i="12"/>
  <c r="N266" i="12"/>
  <c r="M266" i="12"/>
  <c r="L266" i="12"/>
  <c r="K266" i="12"/>
  <c r="J266" i="12"/>
  <c r="I266" i="12"/>
  <c r="L265" i="12"/>
  <c r="K265" i="12"/>
  <c r="N265" i="12" s="1"/>
  <c r="J265" i="12"/>
  <c r="M265" i="12" s="1"/>
  <c r="I265" i="12"/>
  <c r="N264" i="12"/>
  <c r="M264" i="12"/>
  <c r="L264" i="12"/>
  <c r="J264" i="12"/>
  <c r="I264" i="12"/>
  <c r="N263" i="12"/>
  <c r="L263" i="12"/>
  <c r="J263" i="12"/>
  <c r="M263" i="12" s="1"/>
  <c r="I263" i="12"/>
  <c r="N262" i="12"/>
  <c r="M262" i="12"/>
  <c r="L262" i="12"/>
  <c r="K262" i="12"/>
  <c r="J262" i="12"/>
  <c r="I262" i="12"/>
  <c r="L261" i="12"/>
  <c r="K261" i="12"/>
  <c r="N261" i="12" s="1"/>
  <c r="J261" i="12"/>
  <c r="M261" i="12" s="1"/>
  <c r="I261" i="12"/>
  <c r="N260" i="12"/>
  <c r="M260" i="12"/>
  <c r="L260" i="12"/>
  <c r="J260" i="12"/>
  <c r="I260" i="12"/>
  <c r="N259" i="12"/>
  <c r="L259" i="12"/>
  <c r="J259" i="12"/>
  <c r="M259" i="12" s="1"/>
  <c r="I259" i="12"/>
  <c r="N258" i="12"/>
  <c r="M258" i="12"/>
  <c r="L258" i="12"/>
  <c r="K258" i="12"/>
  <c r="J258" i="12"/>
  <c r="I258" i="12"/>
  <c r="L257" i="12"/>
  <c r="K257" i="12"/>
  <c r="N257" i="12" s="1"/>
  <c r="J257" i="12"/>
  <c r="M257" i="12" s="1"/>
  <c r="I257" i="12"/>
  <c r="N256" i="12"/>
  <c r="M256" i="12"/>
  <c r="L256" i="12"/>
  <c r="K256" i="12"/>
  <c r="J256" i="12"/>
  <c r="I256" i="12"/>
  <c r="L255" i="12"/>
  <c r="K255" i="12"/>
  <c r="N255" i="12" s="1"/>
  <c r="J255" i="12"/>
  <c r="M255" i="12" s="1"/>
  <c r="I255" i="12"/>
  <c r="N254" i="12"/>
  <c r="M254" i="12"/>
  <c r="L254" i="12"/>
  <c r="K254" i="12"/>
  <c r="J254" i="12"/>
  <c r="I254" i="12"/>
  <c r="N253" i="12"/>
  <c r="L253" i="12"/>
  <c r="K253" i="12"/>
  <c r="J253" i="12"/>
  <c r="M253" i="12" s="1"/>
  <c r="I253" i="12"/>
  <c r="N252" i="12"/>
  <c r="M252" i="12"/>
  <c r="L252" i="12"/>
  <c r="J252" i="12"/>
  <c r="I252" i="12"/>
  <c r="N251" i="12"/>
  <c r="L251" i="12"/>
  <c r="J251" i="12"/>
  <c r="M251" i="12" s="1"/>
  <c r="I251" i="12"/>
  <c r="N250" i="12"/>
  <c r="M250" i="12"/>
  <c r="L250" i="12"/>
  <c r="K250" i="12"/>
  <c r="J250" i="12"/>
  <c r="I250" i="12"/>
  <c r="N249" i="12"/>
  <c r="L249" i="12"/>
  <c r="J249" i="12"/>
  <c r="M249" i="12" s="1"/>
  <c r="I249" i="12"/>
  <c r="N248" i="12"/>
  <c r="M248" i="12"/>
  <c r="L248" i="12"/>
  <c r="K248" i="12"/>
  <c r="J248" i="12"/>
  <c r="I248" i="12"/>
  <c r="L247" i="12"/>
  <c r="K247" i="12"/>
  <c r="N247" i="12" s="1"/>
  <c r="J247" i="12"/>
  <c r="M247" i="12" s="1"/>
  <c r="I247" i="12"/>
  <c r="N246" i="12"/>
  <c r="M246" i="12"/>
  <c r="L246" i="12"/>
  <c r="K246" i="12"/>
  <c r="J246" i="12"/>
  <c r="I246" i="12"/>
  <c r="N245" i="12"/>
  <c r="L245" i="12"/>
  <c r="K245" i="12"/>
  <c r="J245" i="12"/>
  <c r="M245" i="12" s="1"/>
  <c r="I245" i="12"/>
  <c r="N244" i="12"/>
  <c r="M244" i="12"/>
  <c r="L244" i="12"/>
  <c r="K244" i="12"/>
  <c r="J244" i="12"/>
  <c r="I244" i="12"/>
  <c r="N243" i="12"/>
  <c r="L243" i="12"/>
  <c r="J243" i="12"/>
  <c r="M243" i="12" s="1"/>
  <c r="I243" i="12"/>
  <c r="N242" i="12"/>
  <c r="M242" i="12"/>
  <c r="L242" i="12"/>
  <c r="K242" i="12"/>
  <c r="J242" i="12"/>
  <c r="I242" i="12"/>
  <c r="N241" i="12"/>
  <c r="L241" i="12"/>
  <c r="K241" i="12"/>
  <c r="J241" i="12"/>
  <c r="M241" i="12" s="1"/>
  <c r="I241" i="12"/>
  <c r="L240" i="12"/>
  <c r="K240" i="12"/>
  <c r="N240" i="12" s="1"/>
  <c r="J240" i="12"/>
  <c r="M240" i="12" s="1"/>
  <c r="I240" i="12"/>
  <c r="N239" i="12"/>
  <c r="M239" i="12"/>
  <c r="L239" i="12"/>
  <c r="K239" i="12"/>
  <c r="J239" i="12"/>
  <c r="I239" i="12"/>
  <c r="N238" i="12"/>
  <c r="L238" i="12"/>
  <c r="K238" i="12"/>
  <c r="J238" i="12"/>
  <c r="M238" i="12" s="1"/>
  <c r="I238" i="12"/>
  <c r="L237" i="12"/>
  <c r="K237" i="12"/>
  <c r="N237" i="12" s="1"/>
  <c r="J237" i="12"/>
  <c r="M237" i="12" s="1"/>
  <c r="I237" i="12"/>
  <c r="M236" i="12"/>
  <c r="L236" i="12"/>
  <c r="K236" i="12"/>
  <c r="N236" i="12" s="1"/>
  <c r="J236" i="12"/>
  <c r="I236" i="12"/>
  <c r="M235" i="12"/>
  <c r="L235" i="12"/>
  <c r="K235" i="12"/>
  <c r="N235" i="12" s="1"/>
  <c r="J235" i="12"/>
  <c r="I235" i="12"/>
  <c r="M234" i="12"/>
  <c r="L234" i="12"/>
  <c r="K234" i="12"/>
  <c r="N234" i="12" s="1"/>
  <c r="J234" i="12"/>
  <c r="I234" i="12"/>
  <c r="N233" i="12"/>
  <c r="M233" i="12"/>
  <c r="L233" i="12"/>
  <c r="K233" i="12"/>
  <c r="J233" i="12"/>
  <c r="I233" i="12"/>
  <c r="N232" i="12"/>
  <c r="M232" i="12"/>
  <c r="L232" i="12"/>
  <c r="K232" i="12"/>
  <c r="J232" i="12"/>
  <c r="I232" i="12"/>
  <c r="N231" i="12"/>
  <c r="M231" i="12"/>
  <c r="L231" i="12"/>
  <c r="K231" i="12"/>
  <c r="J231" i="12"/>
  <c r="I231" i="12"/>
  <c r="N230" i="12"/>
  <c r="L230" i="12"/>
  <c r="J230" i="12"/>
  <c r="M230" i="12" s="1"/>
  <c r="I230" i="12"/>
  <c r="N229" i="12"/>
  <c r="L229" i="12"/>
  <c r="J229" i="12"/>
  <c r="M229" i="12" s="1"/>
  <c r="I229" i="12"/>
  <c r="M228" i="12"/>
  <c r="L228" i="12"/>
  <c r="K228" i="12"/>
  <c r="N228" i="12" s="1"/>
  <c r="J228" i="12"/>
  <c r="I228" i="12"/>
  <c r="N227" i="12"/>
  <c r="L227" i="12"/>
  <c r="K227" i="12"/>
  <c r="J227" i="12"/>
  <c r="M227" i="12" s="1"/>
  <c r="I227" i="12"/>
  <c r="N226" i="12"/>
  <c r="L226" i="12"/>
  <c r="J226" i="12"/>
  <c r="M226" i="12" s="1"/>
  <c r="I226" i="12"/>
  <c r="N225" i="12"/>
  <c r="L225" i="12"/>
  <c r="J225" i="12"/>
  <c r="M225" i="12" s="1"/>
  <c r="I225" i="12"/>
  <c r="N224" i="12"/>
  <c r="M224" i="12"/>
  <c r="L224" i="12"/>
  <c r="J224" i="12"/>
  <c r="I224" i="12"/>
  <c r="N223" i="12"/>
  <c r="M223" i="12"/>
  <c r="L223" i="12"/>
  <c r="J223" i="12"/>
  <c r="I223" i="12"/>
  <c r="N222" i="12"/>
  <c r="L222" i="12"/>
  <c r="J222" i="12"/>
  <c r="M222" i="12" s="1"/>
  <c r="I222" i="12"/>
  <c r="N221" i="12"/>
  <c r="L221" i="12"/>
  <c r="J221" i="12"/>
  <c r="M221" i="12" s="1"/>
  <c r="I221" i="12"/>
  <c r="M220" i="12"/>
  <c r="L220" i="12"/>
  <c r="K220" i="12"/>
  <c r="N220" i="12" s="1"/>
  <c r="J220" i="12"/>
  <c r="I220" i="12"/>
  <c r="N219" i="12"/>
  <c r="L219" i="12"/>
  <c r="K219" i="12"/>
  <c r="J219" i="12"/>
  <c r="M219" i="12" s="1"/>
  <c r="I219" i="12"/>
  <c r="M218" i="12"/>
  <c r="L218" i="12"/>
  <c r="K218" i="12"/>
  <c r="N218" i="12" s="1"/>
  <c r="J218" i="12"/>
  <c r="I218" i="12"/>
  <c r="N217" i="12"/>
  <c r="L217" i="12"/>
  <c r="K217" i="12"/>
  <c r="J217" i="12"/>
  <c r="M217" i="12" s="1"/>
  <c r="I217" i="12"/>
  <c r="N216" i="12"/>
  <c r="L216" i="12"/>
  <c r="K216" i="12"/>
  <c r="J216" i="12"/>
  <c r="M216" i="12" s="1"/>
  <c r="I216" i="12"/>
  <c r="L215" i="12"/>
  <c r="K215" i="12"/>
  <c r="N215" i="12" s="1"/>
  <c r="J215" i="12"/>
  <c r="M215" i="12" s="1"/>
  <c r="I215" i="12"/>
  <c r="M214" i="12"/>
  <c r="L214" i="12"/>
  <c r="K214" i="12"/>
  <c r="N214" i="12" s="1"/>
  <c r="J214" i="12"/>
  <c r="I214" i="12"/>
  <c r="N213" i="12"/>
  <c r="L213" i="12"/>
  <c r="K213" i="12"/>
  <c r="J213" i="12"/>
  <c r="M213" i="12" s="1"/>
  <c r="I213" i="12"/>
  <c r="N212" i="12"/>
  <c r="M212" i="12"/>
  <c r="L212" i="12"/>
  <c r="K212" i="12"/>
  <c r="J212" i="12"/>
  <c r="I212" i="12"/>
  <c r="N211" i="12"/>
  <c r="M211" i="12"/>
  <c r="L211" i="12"/>
  <c r="J211" i="12"/>
  <c r="I211" i="12"/>
  <c r="N210" i="12"/>
  <c r="L210" i="12"/>
  <c r="J210" i="12"/>
  <c r="M210" i="12" s="1"/>
  <c r="I210" i="12"/>
  <c r="N209" i="12"/>
  <c r="M209" i="12"/>
  <c r="L209" i="12"/>
  <c r="J209" i="12"/>
  <c r="I209" i="12"/>
  <c r="N208" i="12"/>
  <c r="L208" i="12"/>
  <c r="J208" i="12"/>
  <c r="M208" i="12" s="1"/>
  <c r="I208" i="12"/>
  <c r="N207" i="12"/>
  <c r="M207" i="12"/>
  <c r="L207" i="12"/>
  <c r="K207" i="12"/>
  <c r="J207" i="12"/>
  <c r="I207" i="12"/>
  <c r="N206" i="12"/>
  <c r="L206" i="12"/>
  <c r="J206" i="12"/>
  <c r="M206" i="12" s="1"/>
  <c r="I206" i="12"/>
  <c r="N205" i="12"/>
  <c r="M205" i="12"/>
  <c r="L205" i="12"/>
  <c r="K205" i="12"/>
  <c r="J205" i="12"/>
  <c r="I205" i="12"/>
  <c r="N204" i="12"/>
  <c r="L204" i="12"/>
  <c r="J204" i="12"/>
  <c r="M204" i="12" s="1"/>
  <c r="I204" i="12"/>
  <c r="N203" i="12"/>
  <c r="L203" i="12"/>
  <c r="K203" i="12"/>
  <c r="J203" i="12"/>
  <c r="M203" i="12" s="1"/>
  <c r="I203" i="12"/>
  <c r="N202" i="12"/>
  <c r="L202" i="12"/>
  <c r="J202" i="12"/>
  <c r="M202" i="12" s="1"/>
  <c r="I202" i="12"/>
  <c r="N201" i="12"/>
  <c r="L201" i="12"/>
  <c r="K201" i="12"/>
  <c r="J201" i="12"/>
  <c r="M201" i="12" s="1"/>
  <c r="I201" i="12"/>
  <c r="L200" i="12"/>
  <c r="K200" i="12"/>
  <c r="N200" i="12" s="1"/>
  <c r="J200" i="12"/>
  <c r="M200" i="12" s="1"/>
  <c r="I200" i="12"/>
  <c r="N199" i="12"/>
  <c r="M199" i="12"/>
  <c r="L199" i="12"/>
  <c r="K199" i="12"/>
  <c r="J199" i="12"/>
  <c r="I199" i="12"/>
  <c r="L198" i="12"/>
  <c r="K198" i="12"/>
  <c r="N198" i="12" s="1"/>
  <c r="J198" i="12"/>
  <c r="M198" i="12" s="1"/>
  <c r="I198" i="12"/>
  <c r="N197" i="12"/>
  <c r="M197" i="12"/>
  <c r="L197" i="12"/>
  <c r="K197" i="12"/>
  <c r="J197" i="12"/>
  <c r="I197" i="12"/>
  <c r="N196" i="12"/>
  <c r="L196" i="12"/>
  <c r="K196" i="12"/>
  <c r="J196" i="12"/>
  <c r="M196" i="12" s="1"/>
  <c r="I196" i="12"/>
  <c r="N195" i="12"/>
  <c r="M195" i="12"/>
  <c r="L195" i="12"/>
  <c r="J195" i="12"/>
  <c r="I195" i="12"/>
  <c r="N194" i="12"/>
  <c r="L194" i="12"/>
  <c r="J194" i="12"/>
  <c r="M194" i="12" s="1"/>
  <c r="I194" i="12"/>
  <c r="N193" i="12"/>
  <c r="L193" i="12"/>
  <c r="K193" i="12"/>
  <c r="J193" i="12"/>
  <c r="M193" i="12" s="1"/>
  <c r="I193" i="12"/>
  <c r="L192" i="12"/>
  <c r="K192" i="12"/>
  <c r="N192" i="12" s="1"/>
  <c r="J192" i="12"/>
  <c r="M192" i="12" s="1"/>
  <c r="I192" i="12"/>
  <c r="D30" i="12"/>
  <c r="N191" i="12"/>
  <c r="M191" i="12"/>
  <c r="L191" i="12"/>
  <c r="K191" i="12"/>
  <c r="J191" i="12"/>
  <c r="I191" i="12"/>
  <c r="L190" i="12"/>
  <c r="K190" i="12"/>
  <c r="N190" i="12" s="1"/>
  <c r="J190" i="12"/>
  <c r="M190" i="12" s="1"/>
  <c r="I190" i="12"/>
  <c r="N189" i="12"/>
  <c r="M189" i="12"/>
  <c r="L189" i="12"/>
  <c r="J189" i="12"/>
  <c r="I189" i="12"/>
  <c r="N188" i="12"/>
  <c r="L188" i="12"/>
  <c r="J188" i="12"/>
  <c r="M188" i="12" s="1"/>
  <c r="I188" i="12"/>
  <c r="N187" i="12"/>
  <c r="M187" i="12"/>
  <c r="L187" i="12"/>
  <c r="J187" i="12"/>
  <c r="I187" i="12"/>
  <c r="N186" i="12"/>
  <c r="L186" i="12"/>
  <c r="J186" i="12"/>
  <c r="M186" i="12" s="1"/>
  <c r="I186" i="12"/>
  <c r="N185" i="12"/>
  <c r="L185" i="12"/>
  <c r="K185" i="12"/>
  <c r="J185" i="12"/>
  <c r="M185" i="12" s="1"/>
  <c r="I185" i="12"/>
  <c r="N184" i="12"/>
  <c r="L184" i="12"/>
  <c r="J184" i="12"/>
  <c r="M184" i="12" s="1"/>
  <c r="I184" i="12"/>
  <c r="N183" i="12"/>
  <c r="M183" i="12"/>
  <c r="L183" i="12"/>
  <c r="K183" i="12"/>
  <c r="J183" i="12"/>
  <c r="I183" i="12"/>
  <c r="L182" i="12"/>
  <c r="K182" i="12"/>
  <c r="N182" i="12" s="1"/>
  <c r="J182" i="12"/>
  <c r="M182" i="12" s="1"/>
  <c r="I182" i="12"/>
  <c r="N181" i="12"/>
  <c r="M181" i="12"/>
  <c r="L181" i="12"/>
  <c r="J181" i="12"/>
  <c r="I181" i="12"/>
  <c r="N180" i="12"/>
  <c r="L180" i="12"/>
  <c r="K180" i="12"/>
  <c r="J180" i="12"/>
  <c r="M180" i="12" s="1"/>
  <c r="I180" i="12"/>
  <c r="N179" i="12"/>
  <c r="L179" i="12"/>
  <c r="K179" i="12"/>
  <c r="J179" i="12"/>
  <c r="M179" i="12" s="1"/>
  <c r="I179" i="12"/>
  <c r="N178" i="12"/>
  <c r="L178" i="12"/>
  <c r="K178" i="12"/>
  <c r="J178" i="12"/>
  <c r="M178" i="12" s="1"/>
  <c r="I178" i="12"/>
  <c r="N177" i="12"/>
  <c r="L177" i="12"/>
  <c r="K177" i="12"/>
  <c r="J177" i="12"/>
  <c r="M177" i="12" s="1"/>
  <c r="I177" i="12"/>
  <c r="L176" i="12"/>
  <c r="K176" i="12"/>
  <c r="N176" i="12" s="1"/>
  <c r="J176" i="12"/>
  <c r="M176" i="12" s="1"/>
  <c r="I176" i="12"/>
  <c r="G178" i="12"/>
  <c r="D31" i="12" s="1"/>
  <c r="F178" i="12"/>
  <c r="C31" i="12" s="1"/>
  <c r="N175" i="12"/>
  <c r="M175" i="12"/>
  <c r="L175" i="12"/>
  <c r="K175" i="12"/>
  <c r="J175" i="12"/>
  <c r="I175" i="12"/>
  <c r="N174" i="12"/>
  <c r="M174" i="12"/>
  <c r="L174" i="12"/>
  <c r="J174" i="12"/>
  <c r="I174" i="12"/>
  <c r="N173" i="12"/>
  <c r="L173" i="12"/>
  <c r="J173" i="12"/>
  <c r="M173" i="12" s="1"/>
  <c r="I173" i="12"/>
  <c r="M172" i="12"/>
  <c r="L172" i="12"/>
  <c r="K172" i="12"/>
  <c r="N172" i="12" s="1"/>
  <c r="J172" i="12"/>
  <c r="I172" i="12"/>
  <c r="N171" i="12"/>
  <c r="M171" i="12"/>
  <c r="L171" i="12"/>
  <c r="J171" i="12"/>
  <c r="I171" i="12"/>
  <c r="M170" i="12"/>
  <c r="L170" i="12"/>
  <c r="K170" i="12"/>
  <c r="N170" i="12" s="1"/>
  <c r="J170" i="12"/>
  <c r="I170" i="12"/>
  <c r="N169" i="12"/>
  <c r="L169" i="12"/>
  <c r="K169" i="12"/>
  <c r="J169" i="12"/>
  <c r="M169" i="12" s="1"/>
  <c r="I169" i="12"/>
  <c r="N168" i="12"/>
  <c r="L168" i="12"/>
  <c r="K168" i="12"/>
  <c r="J168" i="12"/>
  <c r="M168" i="12" s="1"/>
  <c r="I168" i="12"/>
  <c r="N167" i="12"/>
  <c r="L167" i="12"/>
  <c r="J167" i="12"/>
  <c r="M167" i="12" s="1"/>
  <c r="I167" i="12"/>
  <c r="N166" i="12"/>
  <c r="M166" i="12"/>
  <c r="L166" i="12"/>
  <c r="K166" i="12"/>
  <c r="J166" i="12"/>
  <c r="I166" i="12"/>
  <c r="N165" i="12"/>
  <c r="L165" i="12"/>
  <c r="J165" i="12"/>
  <c r="M165" i="12" s="1"/>
  <c r="I165" i="12"/>
  <c r="N164" i="12"/>
  <c r="M164" i="12"/>
  <c r="L164" i="12"/>
  <c r="K164" i="12"/>
  <c r="J164" i="12"/>
  <c r="I164" i="12"/>
  <c r="N163" i="12"/>
  <c r="L163" i="12"/>
  <c r="K163" i="12"/>
  <c r="J163" i="12"/>
  <c r="M163" i="12" s="1"/>
  <c r="I163" i="12"/>
  <c r="N162" i="12"/>
  <c r="L162" i="12"/>
  <c r="K162" i="12"/>
  <c r="J162" i="12"/>
  <c r="M162" i="12" s="1"/>
  <c r="I162" i="12"/>
  <c r="N161" i="12"/>
  <c r="L161" i="12"/>
  <c r="K161" i="12"/>
  <c r="J161" i="12"/>
  <c r="M161" i="12" s="1"/>
  <c r="I161" i="12"/>
  <c r="N160" i="12"/>
  <c r="L160" i="12"/>
  <c r="K160" i="12"/>
  <c r="J160" i="12"/>
  <c r="M160" i="12" s="1"/>
  <c r="I160" i="12"/>
  <c r="L159" i="12"/>
  <c r="K159" i="12"/>
  <c r="N159" i="12" s="1"/>
  <c r="J159" i="12"/>
  <c r="M159" i="12" s="1"/>
  <c r="I159" i="12"/>
  <c r="N158" i="12"/>
  <c r="M158" i="12"/>
  <c r="L158" i="12"/>
  <c r="K158" i="12"/>
  <c r="J158" i="12"/>
  <c r="I158" i="12"/>
  <c r="L157" i="12"/>
  <c r="K157" i="12"/>
  <c r="N157" i="12" s="1"/>
  <c r="J157" i="12"/>
  <c r="M157" i="12" s="1"/>
  <c r="I157" i="12"/>
  <c r="N156" i="12"/>
  <c r="M156" i="12"/>
  <c r="L156" i="12"/>
  <c r="K156" i="12"/>
  <c r="J156" i="12"/>
  <c r="I156" i="12"/>
  <c r="N155" i="12"/>
  <c r="L155" i="12"/>
  <c r="K155" i="12"/>
  <c r="J155" i="12"/>
  <c r="M155" i="12" s="1"/>
  <c r="I155" i="12"/>
  <c r="N154" i="12"/>
  <c r="L154" i="12"/>
  <c r="K154" i="12"/>
  <c r="J154" i="12"/>
  <c r="M154" i="12" s="1"/>
  <c r="I154" i="12"/>
  <c r="N153" i="12"/>
  <c r="L153" i="12"/>
  <c r="K153" i="12"/>
  <c r="J153" i="12"/>
  <c r="M153" i="12" s="1"/>
  <c r="I153" i="12"/>
  <c r="N152" i="12"/>
  <c r="L152" i="12"/>
  <c r="K152" i="12"/>
  <c r="J152" i="12"/>
  <c r="M152" i="12" s="1"/>
  <c r="I152" i="12"/>
  <c r="M151" i="12"/>
  <c r="L151" i="12"/>
  <c r="K151" i="12"/>
  <c r="N151" i="12" s="1"/>
  <c r="N150" i="12"/>
  <c r="M150" i="12"/>
  <c r="L150" i="12"/>
  <c r="N149" i="12"/>
  <c r="M149" i="12"/>
  <c r="L149" i="12"/>
  <c r="N148" i="12"/>
  <c r="M148" i="12"/>
  <c r="L148" i="12"/>
  <c r="N147" i="12"/>
  <c r="M147" i="12"/>
  <c r="L147" i="12"/>
  <c r="N146" i="12"/>
  <c r="M146" i="12"/>
  <c r="L146" i="12"/>
  <c r="M145" i="12"/>
  <c r="L145" i="12"/>
  <c r="K145" i="12"/>
  <c r="N145" i="12" s="1"/>
  <c r="I145" i="12"/>
  <c r="M144" i="12"/>
  <c r="L144" i="12"/>
  <c r="K144" i="12"/>
  <c r="N144" i="12" s="1"/>
  <c r="I144" i="12"/>
  <c r="N143" i="12"/>
  <c r="M143" i="12"/>
  <c r="L143" i="12"/>
  <c r="K143" i="12"/>
  <c r="I143" i="12"/>
  <c r="M142" i="12"/>
  <c r="L142" i="12"/>
  <c r="K142" i="12"/>
  <c r="N142" i="12" s="1"/>
  <c r="J142" i="12"/>
  <c r="I142" i="12"/>
  <c r="N141" i="12"/>
  <c r="M141" i="12"/>
  <c r="L141" i="12"/>
  <c r="I141" i="12"/>
  <c r="L140" i="12"/>
  <c r="K140" i="12"/>
  <c r="N140" i="12" s="1"/>
  <c r="J140" i="12"/>
  <c r="M140" i="12" s="1"/>
  <c r="I140" i="12"/>
  <c r="N139" i="12"/>
  <c r="M139" i="12"/>
  <c r="L139" i="12"/>
  <c r="K139" i="12"/>
  <c r="J139" i="12"/>
  <c r="I139" i="12"/>
  <c r="N138" i="12"/>
  <c r="L138" i="12"/>
  <c r="K138" i="12"/>
  <c r="J138" i="12"/>
  <c r="M138" i="12" s="1"/>
  <c r="I138" i="12"/>
  <c r="N137" i="12"/>
  <c r="M137" i="12"/>
  <c r="L137" i="12"/>
  <c r="I137" i="12"/>
  <c r="N136" i="12"/>
  <c r="M136" i="12"/>
  <c r="L136" i="12"/>
  <c r="I136" i="12"/>
  <c r="N135" i="12"/>
  <c r="M135" i="12"/>
  <c r="L135" i="12"/>
  <c r="K135" i="12"/>
  <c r="I135" i="12"/>
  <c r="M134" i="12"/>
  <c r="L134" i="12"/>
  <c r="K134" i="12"/>
  <c r="N134" i="12" s="1"/>
  <c r="J134" i="12"/>
  <c r="I134" i="12"/>
  <c r="N133" i="12"/>
  <c r="M133" i="12"/>
  <c r="L133" i="12"/>
  <c r="I133" i="12"/>
  <c r="N132" i="12"/>
  <c r="M132" i="12"/>
  <c r="L132" i="12"/>
  <c r="K132" i="12"/>
  <c r="I132" i="12"/>
  <c r="M131" i="12"/>
  <c r="L131" i="12"/>
  <c r="K131" i="12"/>
  <c r="N131" i="12" s="1"/>
  <c r="J131" i="12"/>
  <c r="I131" i="12"/>
  <c r="M130" i="12"/>
  <c r="L130" i="12"/>
  <c r="K130" i="12"/>
  <c r="N130" i="12" s="1"/>
  <c r="I130" i="12"/>
  <c r="N129" i="12"/>
  <c r="L129" i="12"/>
  <c r="K129" i="12"/>
  <c r="J129" i="12"/>
  <c r="M129" i="12" s="1"/>
  <c r="I129" i="12"/>
  <c r="M128" i="12"/>
  <c r="L128" i="12"/>
  <c r="K128" i="12"/>
  <c r="N128" i="12" s="1"/>
  <c r="I128" i="12"/>
  <c r="L127" i="12"/>
  <c r="K127" i="12"/>
  <c r="N127" i="12" s="1"/>
  <c r="J127" i="12"/>
  <c r="M127" i="12" s="1"/>
  <c r="I127" i="12"/>
  <c r="M126" i="12"/>
  <c r="L126" i="12"/>
  <c r="K126" i="12"/>
  <c r="N126" i="12" s="1"/>
  <c r="I126" i="12"/>
  <c r="L125" i="12"/>
  <c r="K125" i="12"/>
  <c r="N125" i="12" s="1"/>
  <c r="J125" i="12"/>
  <c r="M125" i="12" s="1"/>
  <c r="I125" i="12"/>
  <c r="N124" i="12"/>
  <c r="M124" i="12"/>
  <c r="L124" i="12"/>
  <c r="K124" i="12"/>
  <c r="I124" i="12"/>
  <c r="M123" i="12"/>
  <c r="L123" i="12"/>
  <c r="K123" i="12"/>
  <c r="N123" i="12" s="1"/>
  <c r="J123" i="12"/>
  <c r="I123" i="12"/>
  <c r="N122" i="12"/>
  <c r="M122" i="12"/>
  <c r="L122" i="12"/>
  <c r="K122" i="12"/>
  <c r="I122" i="12"/>
  <c r="M121" i="12"/>
  <c r="L121" i="12"/>
  <c r="K121" i="12"/>
  <c r="N121" i="12" s="1"/>
  <c r="J121" i="12"/>
  <c r="I121" i="12"/>
  <c r="M120" i="12"/>
  <c r="L120" i="12"/>
  <c r="K120" i="12"/>
  <c r="N120" i="12" s="1"/>
  <c r="I120" i="12"/>
  <c r="N119" i="12"/>
  <c r="L119" i="12"/>
  <c r="K119" i="12"/>
  <c r="J119" i="12"/>
  <c r="M119" i="12" s="1"/>
  <c r="I119" i="12"/>
  <c r="N118" i="12"/>
  <c r="M118" i="12"/>
  <c r="L118" i="12"/>
  <c r="I118" i="12"/>
  <c r="N117" i="12"/>
  <c r="M117" i="12"/>
  <c r="L117" i="12"/>
  <c r="I117" i="12"/>
  <c r="N116" i="12"/>
  <c r="M116" i="12"/>
  <c r="L116" i="12"/>
  <c r="K116" i="12"/>
  <c r="I116" i="12"/>
  <c r="M115" i="12"/>
  <c r="L115" i="12"/>
  <c r="K115" i="12"/>
  <c r="N115" i="12" s="1"/>
  <c r="J115" i="12"/>
  <c r="I115" i="12"/>
  <c r="N114" i="12"/>
  <c r="M114" i="12"/>
  <c r="L114" i="12"/>
  <c r="K114" i="12"/>
  <c r="I114" i="12"/>
  <c r="N113" i="12"/>
  <c r="M113" i="12"/>
  <c r="L113" i="12"/>
  <c r="K113" i="12"/>
  <c r="J113" i="12"/>
  <c r="I113" i="12"/>
  <c r="M112" i="12"/>
  <c r="L112" i="12"/>
  <c r="K112" i="12"/>
  <c r="N112" i="12" s="1"/>
  <c r="I112" i="12"/>
  <c r="N111" i="12"/>
  <c r="L111" i="12"/>
  <c r="K111" i="12"/>
  <c r="J111" i="12"/>
  <c r="M111" i="12" s="1"/>
  <c r="I111" i="12"/>
  <c r="M110" i="12"/>
  <c r="L110" i="12"/>
  <c r="K110" i="12"/>
  <c r="N110" i="12" s="1"/>
  <c r="I110" i="12"/>
  <c r="N109" i="12"/>
  <c r="L109" i="12"/>
  <c r="K109" i="12"/>
  <c r="J109" i="12"/>
  <c r="M109" i="12" s="1"/>
  <c r="I109" i="12"/>
  <c r="N108" i="12"/>
  <c r="M108" i="12"/>
  <c r="L108" i="12"/>
  <c r="K108" i="12"/>
  <c r="I108" i="12"/>
  <c r="M107" i="12"/>
  <c r="L107" i="12"/>
  <c r="K107" i="12"/>
  <c r="N107" i="12" s="1"/>
  <c r="J107" i="12"/>
  <c r="I107" i="12"/>
  <c r="N106" i="12"/>
  <c r="M106" i="12"/>
  <c r="L106" i="12"/>
  <c r="I106" i="12"/>
  <c r="N105" i="12"/>
  <c r="M105" i="12"/>
  <c r="L105" i="12"/>
  <c r="I105" i="12"/>
  <c r="M104" i="12"/>
  <c r="L104" i="12"/>
  <c r="K104" i="12"/>
  <c r="N104" i="12" s="1"/>
  <c r="I104" i="12"/>
  <c r="N103" i="12"/>
  <c r="L103" i="12"/>
  <c r="K103" i="12"/>
  <c r="J103" i="12"/>
  <c r="M103" i="12" s="1"/>
  <c r="I103" i="12"/>
  <c r="N102" i="12"/>
  <c r="M102" i="12"/>
  <c r="L102" i="12"/>
  <c r="I102" i="12"/>
  <c r="N101" i="12"/>
  <c r="M101" i="12"/>
  <c r="L101" i="12"/>
  <c r="K101" i="12"/>
  <c r="I101" i="12"/>
  <c r="N100" i="12"/>
  <c r="M100" i="12"/>
  <c r="L100" i="12"/>
  <c r="K100" i="12"/>
  <c r="J100" i="12"/>
  <c r="I100" i="12"/>
  <c r="N99" i="12"/>
  <c r="M99" i="12"/>
  <c r="L99" i="12"/>
  <c r="I99" i="12"/>
  <c r="N98" i="12"/>
  <c r="M98" i="12"/>
  <c r="L98" i="12"/>
  <c r="I98" i="12"/>
  <c r="N97" i="12"/>
  <c r="M97" i="12"/>
  <c r="L97" i="12"/>
  <c r="K97" i="12"/>
  <c r="I97" i="12"/>
  <c r="M96" i="12"/>
  <c r="L96" i="12"/>
  <c r="K96" i="12"/>
  <c r="N96" i="12" s="1"/>
  <c r="J96" i="12"/>
  <c r="I96" i="12"/>
  <c r="M95" i="12"/>
  <c r="L95" i="12"/>
  <c r="K95" i="12"/>
  <c r="N95" i="12" s="1"/>
  <c r="I95" i="12"/>
  <c r="N94" i="12"/>
  <c r="L94" i="12"/>
  <c r="K94" i="12"/>
  <c r="J94" i="12"/>
  <c r="M94" i="12" s="1"/>
  <c r="I94" i="12"/>
  <c r="N93" i="12"/>
  <c r="M93" i="12"/>
  <c r="L93" i="12"/>
  <c r="K93" i="12"/>
  <c r="I93" i="12"/>
  <c r="M92" i="12"/>
  <c r="L92" i="12"/>
  <c r="K92" i="12"/>
  <c r="N92" i="12" s="1"/>
  <c r="J92" i="12"/>
  <c r="I92" i="12"/>
  <c r="M91" i="12"/>
  <c r="L91" i="12"/>
  <c r="K91" i="12"/>
  <c r="N91" i="12" s="1"/>
  <c r="I91" i="12"/>
  <c r="L90" i="12"/>
  <c r="K90" i="12"/>
  <c r="N90" i="12" s="1"/>
  <c r="J90" i="12"/>
  <c r="M90" i="12" s="1"/>
  <c r="I90" i="12"/>
  <c r="N89" i="12"/>
  <c r="M89" i="12"/>
  <c r="L89" i="12"/>
  <c r="K89" i="12"/>
  <c r="I89" i="12"/>
  <c r="L88" i="12"/>
  <c r="K88" i="12"/>
  <c r="N88" i="12" s="1"/>
  <c r="J88" i="12"/>
  <c r="M88" i="12" s="1"/>
  <c r="I88" i="12"/>
  <c r="N87" i="12"/>
  <c r="M87" i="12"/>
  <c r="L87" i="12"/>
  <c r="K87" i="12"/>
  <c r="I87" i="12"/>
  <c r="M86" i="12"/>
  <c r="L86" i="12"/>
  <c r="K86" i="12"/>
  <c r="N86" i="12" s="1"/>
  <c r="J86" i="12"/>
  <c r="I86" i="12"/>
  <c r="N85" i="12"/>
  <c r="M85" i="12"/>
  <c r="L85" i="12"/>
  <c r="I85" i="12"/>
  <c r="N84" i="12"/>
  <c r="M84" i="12"/>
  <c r="L84" i="12"/>
  <c r="I84" i="12"/>
  <c r="M83" i="12"/>
  <c r="L83" i="12"/>
  <c r="K83" i="12"/>
  <c r="N83" i="12" s="1"/>
  <c r="I83" i="12"/>
  <c r="L82" i="12"/>
  <c r="K82" i="12"/>
  <c r="N82" i="12" s="1"/>
  <c r="J82" i="12"/>
  <c r="M82" i="12" s="1"/>
  <c r="I82" i="12"/>
  <c r="N81" i="12"/>
  <c r="M81" i="12"/>
  <c r="L81" i="12"/>
  <c r="K81" i="12"/>
  <c r="I81" i="12"/>
  <c r="M80" i="12"/>
  <c r="L80" i="12"/>
  <c r="K80" i="12"/>
  <c r="N80" i="12" s="1"/>
  <c r="J80" i="12"/>
  <c r="I80" i="12"/>
  <c r="N79" i="12"/>
  <c r="M79" i="12"/>
  <c r="L79" i="12"/>
  <c r="K79" i="12"/>
  <c r="I79" i="12"/>
  <c r="N78" i="12"/>
  <c r="M78" i="12"/>
  <c r="L78" i="12"/>
  <c r="K78" i="12"/>
  <c r="J78" i="12"/>
  <c r="I78" i="12"/>
  <c r="M77" i="12"/>
  <c r="L77" i="12"/>
  <c r="K77" i="12"/>
  <c r="N77" i="12" s="1"/>
  <c r="I77" i="12"/>
  <c r="N76" i="12"/>
  <c r="L76" i="12"/>
  <c r="K76" i="12"/>
  <c r="J76" i="12"/>
  <c r="M76" i="12" s="1"/>
  <c r="I76" i="12"/>
  <c r="M75" i="12"/>
  <c r="L75" i="12"/>
  <c r="K75" i="12"/>
  <c r="N75" i="12" s="1"/>
  <c r="I75" i="12"/>
  <c r="L74" i="12"/>
  <c r="K74" i="12"/>
  <c r="N74" i="12" s="1"/>
  <c r="J74" i="12"/>
  <c r="M74" i="12" s="1"/>
  <c r="I74" i="12"/>
  <c r="N73" i="12"/>
  <c r="M73" i="12"/>
  <c r="L73" i="12"/>
  <c r="K73" i="12"/>
  <c r="I73" i="12"/>
  <c r="M72" i="12"/>
  <c r="L72" i="12"/>
  <c r="K72" i="12"/>
  <c r="N72" i="12" s="1"/>
  <c r="J72" i="12"/>
  <c r="I72" i="12"/>
  <c r="N71" i="12"/>
  <c r="M71" i="12"/>
  <c r="L71" i="12"/>
  <c r="I71" i="12"/>
  <c r="N70" i="12"/>
  <c r="M70" i="12"/>
  <c r="L70" i="12"/>
  <c r="I70" i="12"/>
  <c r="M69" i="12"/>
  <c r="L69" i="12"/>
  <c r="K69" i="12"/>
  <c r="N69" i="12" s="1"/>
  <c r="I69" i="12"/>
  <c r="L68" i="12"/>
  <c r="K68" i="12"/>
  <c r="N68" i="12" s="1"/>
  <c r="J68" i="12"/>
  <c r="M68" i="12" s="1"/>
  <c r="I68" i="12"/>
  <c r="N67" i="12"/>
  <c r="M67" i="12"/>
  <c r="L67" i="12"/>
  <c r="K67" i="12"/>
  <c r="I67" i="12"/>
  <c r="M66" i="12"/>
  <c r="L66" i="12"/>
  <c r="K66" i="12"/>
  <c r="N66" i="12" s="1"/>
  <c r="J66" i="12"/>
  <c r="I66" i="12"/>
  <c r="N65" i="12"/>
  <c r="M65" i="12"/>
  <c r="L65" i="12"/>
  <c r="K65" i="12"/>
  <c r="I65" i="12"/>
  <c r="N64" i="12"/>
  <c r="M64" i="12"/>
  <c r="L64" i="12"/>
  <c r="K64" i="12"/>
  <c r="J64" i="12"/>
  <c r="I64" i="12"/>
  <c r="N63" i="12"/>
  <c r="M63" i="12"/>
  <c r="L63" i="12"/>
  <c r="I63" i="12"/>
  <c r="N62" i="12"/>
  <c r="M62" i="12"/>
  <c r="L62" i="12"/>
  <c r="I62" i="12"/>
  <c r="N61" i="12"/>
  <c r="M61" i="12"/>
  <c r="L61" i="12"/>
  <c r="K61" i="12"/>
  <c r="I61" i="12"/>
  <c r="M60" i="12"/>
  <c r="L60" i="12"/>
  <c r="K60" i="12"/>
  <c r="N60" i="12" s="1"/>
  <c r="J60" i="12"/>
  <c r="I60" i="12"/>
  <c r="N59" i="12"/>
  <c r="M59" i="12"/>
  <c r="L59" i="12"/>
  <c r="K59" i="12"/>
  <c r="I59" i="12"/>
  <c r="N58" i="12"/>
  <c r="M58" i="12"/>
  <c r="L58" i="12"/>
  <c r="K58" i="12"/>
  <c r="J58" i="12"/>
  <c r="I58" i="12"/>
  <c r="M57" i="12"/>
  <c r="L57" i="12"/>
  <c r="K57" i="12"/>
  <c r="N57" i="12" s="1"/>
  <c r="I57" i="12"/>
  <c r="N56" i="12"/>
  <c r="L56" i="12"/>
  <c r="K56" i="12"/>
  <c r="J56" i="12"/>
  <c r="M56" i="12" s="1"/>
  <c r="I56" i="12"/>
  <c r="M55" i="12"/>
  <c r="L55" i="12"/>
  <c r="K55" i="12"/>
  <c r="N55" i="12" s="1"/>
  <c r="I55" i="12"/>
  <c r="L54" i="12"/>
  <c r="K54" i="12"/>
  <c r="N54" i="12" s="1"/>
  <c r="J54" i="12"/>
  <c r="M54" i="12" s="1"/>
  <c r="I54" i="12"/>
  <c r="N53" i="12"/>
  <c r="M53" i="12"/>
  <c r="L53" i="12"/>
  <c r="K53" i="12"/>
  <c r="I53" i="12"/>
  <c r="M52" i="12"/>
  <c r="L52" i="12"/>
  <c r="K52" i="12"/>
  <c r="N52" i="12" s="1"/>
  <c r="J52" i="12"/>
  <c r="I52" i="12"/>
  <c r="N51" i="12"/>
  <c r="M51" i="12"/>
  <c r="L51" i="12"/>
  <c r="K51" i="12"/>
  <c r="I51" i="12"/>
  <c r="N50" i="12"/>
  <c r="M50" i="12"/>
  <c r="L50" i="12"/>
  <c r="K50" i="12"/>
  <c r="J50" i="12"/>
  <c r="I50" i="12"/>
  <c r="N49" i="12"/>
  <c r="M49" i="12"/>
  <c r="L49" i="12"/>
  <c r="I49" i="12"/>
  <c r="N48" i="12"/>
  <c r="M48" i="12"/>
  <c r="L48" i="12"/>
  <c r="I48" i="12"/>
  <c r="N47" i="12"/>
  <c r="M47" i="12"/>
  <c r="L47" i="12"/>
  <c r="K47" i="12"/>
  <c r="I47" i="12"/>
  <c r="C17" i="12"/>
  <c r="D22" i="12"/>
  <c r="O7" i="12"/>
  <c r="O6" i="12"/>
  <c r="B228" i="12"/>
  <c r="B227" i="12"/>
  <c r="EP2" i="10"/>
  <c r="EQ2" i="10"/>
  <c r="ER2" i="10"/>
  <c r="ES2" i="10"/>
  <c r="ET2" i="10"/>
  <c r="EU2" i="10"/>
  <c r="EV2" i="10"/>
  <c r="EW2" i="10"/>
  <c r="EX2" i="10"/>
  <c r="EY2" i="10"/>
  <c r="EZ2" i="10"/>
  <c r="FA2" i="10"/>
  <c r="FB2" i="10"/>
  <c r="FC2" i="10"/>
  <c r="FD2" i="10"/>
  <c r="FE2" i="10"/>
  <c r="FF2" i="10"/>
  <c r="FG2" i="10"/>
  <c r="FH2" i="10"/>
  <c r="FI2" i="10"/>
  <c r="FJ2" i="10"/>
  <c r="FK2" i="10"/>
  <c r="FL2" i="10"/>
  <c r="FM2" i="10"/>
  <c r="FN2" i="10"/>
  <c r="FO2" i="10"/>
  <c r="FP2" i="10"/>
  <c r="FQ2" i="10"/>
  <c r="FR2" i="10"/>
  <c r="FS2" i="10"/>
  <c r="FT2" i="10"/>
  <c r="FU2" i="10"/>
  <c r="FV2" i="10"/>
  <c r="FW2" i="10"/>
  <c r="FX2" i="10"/>
  <c r="FY2" i="10"/>
  <c r="FZ2" i="10"/>
  <c r="GA2" i="10"/>
  <c r="GB2" i="10"/>
  <c r="GC2" i="10"/>
  <c r="GD2" i="10"/>
  <c r="GE2" i="10"/>
  <c r="GF2" i="10"/>
  <c r="GG2" i="10"/>
  <c r="GH2" i="10"/>
  <c r="GI2" i="10"/>
  <c r="GJ2" i="10"/>
  <c r="GK2" i="10"/>
  <c r="GL2" i="10"/>
  <c r="GM2" i="10"/>
  <c r="GN2" i="10"/>
  <c r="GO2" i="10"/>
  <c r="GP2" i="10"/>
  <c r="GQ2" i="10"/>
  <c r="GR2" i="10"/>
  <c r="GS2" i="10"/>
  <c r="GT2" i="10"/>
  <c r="GU2" i="10"/>
  <c r="GV2" i="10"/>
  <c r="GW2" i="10"/>
  <c r="GX2" i="10"/>
  <c r="GY2" i="10"/>
  <c r="GZ2" i="10"/>
  <c r="HA2" i="10"/>
  <c r="HB2" i="10"/>
  <c r="HC2" i="10"/>
  <c r="HD2" i="10"/>
  <c r="HE2" i="10"/>
  <c r="HF2" i="10"/>
  <c r="HG2" i="10"/>
  <c r="HH2" i="10"/>
  <c r="HI2" i="10"/>
  <c r="HJ2" i="10"/>
  <c r="HK2" i="10"/>
  <c r="HL2" i="10"/>
  <c r="HM2" i="10"/>
  <c r="HN2" i="10"/>
  <c r="HO2" i="10"/>
  <c r="HP2" i="10"/>
  <c r="HQ2" i="10"/>
  <c r="HR2" i="10"/>
  <c r="HS2" i="10"/>
  <c r="HT2" i="10"/>
  <c r="HU2" i="10"/>
  <c r="HV2" i="10"/>
  <c r="HW2" i="10"/>
  <c r="HX2" i="10"/>
  <c r="HY2" i="10"/>
  <c r="HZ2" i="10"/>
  <c r="IA2" i="10"/>
  <c r="IB2" i="10"/>
  <c r="IC2" i="10"/>
  <c r="ID2" i="10"/>
  <c r="IE2" i="10"/>
  <c r="IF2" i="10"/>
  <c r="IG2" i="10"/>
  <c r="IH2" i="10"/>
  <c r="II2" i="10"/>
  <c r="IJ2" i="10"/>
  <c r="IK2" i="10"/>
  <c r="IL2" i="10"/>
  <c r="IM2" i="10"/>
  <c r="IN2" i="10"/>
  <c r="IO2" i="10"/>
  <c r="IP2" i="10"/>
  <c r="IQ2" i="10"/>
  <c r="IR2" i="10"/>
  <c r="IS2" i="10"/>
  <c r="IT2" i="10"/>
  <c r="IU2" i="10"/>
  <c r="IV2" i="10"/>
  <c r="IW2" i="10"/>
  <c r="IX2" i="10"/>
  <c r="IY2" i="10"/>
  <c r="IZ2" i="10"/>
  <c r="JA2" i="10"/>
  <c r="JB2" i="10"/>
  <c r="JC2" i="10"/>
  <c r="JD2" i="10"/>
  <c r="JE2" i="10"/>
  <c r="JF2" i="10"/>
  <c r="JG2" i="10"/>
  <c r="JH2" i="10"/>
  <c r="JI2" i="10"/>
  <c r="JJ2" i="10"/>
  <c r="JK2" i="10"/>
  <c r="JL2" i="10"/>
  <c r="JM2" i="10"/>
  <c r="JN2" i="10"/>
  <c r="JO2" i="10"/>
  <c r="JP2" i="10"/>
  <c r="JQ2" i="10"/>
  <c r="JR2" i="10"/>
  <c r="JS2" i="10"/>
  <c r="JT2" i="10"/>
  <c r="JU2" i="10"/>
  <c r="JV2" i="10"/>
  <c r="JW2" i="10"/>
  <c r="JX2" i="10"/>
  <c r="JY2" i="10"/>
  <c r="JZ2" i="10"/>
  <c r="KA2" i="10"/>
  <c r="KB2" i="10"/>
  <c r="KC2" i="10"/>
  <c r="KD2" i="10"/>
  <c r="KE2" i="10"/>
  <c r="KF2" i="10"/>
  <c r="KG2" i="10"/>
  <c r="KH2" i="10"/>
  <c r="KI2" i="10"/>
  <c r="KJ2" i="10"/>
  <c r="KK2" i="10"/>
  <c r="KL2" i="10"/>
  <c r="KM2" i="10"/>
  <c r="KN2" i="10"/>
  <c r="KO2" i="10"/>
  <c r="KP2" i="10"/>
  <c r="KQ2" i="10"/>
  <c r="KR2" i="10"/>
  <c r="KS2" i="10"/>
  <c r="KT2" i="10"/>
  <c r="KU2" i="10"/>
  <c r="KV2" i="10"/>
  <c r="KW2" i="10"/>
  <c r="KX2" i="10"/>
  <c r="KY2" i="10"/>
  <c r="KZ2" i="10"/>
  <c r="LA2" i="10"/>
  <c r="LB2" i="10"/>
  <c r="LC2" i="10"/>
  <c r="LD2" i="10"/>
  <c r="LE2" i="10"/>
  <c r="LF2" i="10"/>
  <c r="LG2" i="10"/>
  <c r="LH2" i="10"/>
  <c r="LI2" i="10"/>
  <c r="LJ2" i="10"/>
  <c r="LK2" i="10"/>
  <c r="LL2" i="10"/>
  <c r="LM2" i="10"/>
  <c r="LN2" i="10"/>
  <c r="LO2" i="10"/>
  <c r="LP2" i="10"/>
  <c r="LQ2" i="10"/>
  <c r="LR2" i="10"/>
  <c r="LS2" i="10"/>
  <c r="LT2" i="10"/>
  <c r="LU2" i="10"/>
  <c r="LV2" i="10"/>
  <c r="LW2" i="10"/>
  <c r="LX2" i="10"/>
  <c r="LY2" i="10"/>
  <c r="LZ2" i="10"/>
  <c r="MA2" i="10"/>
  <c r="MB2" i="10"/>
  <c r="MC2" i="10"/>
  <c r="MD2" i="10"/>
  <c r="ME2" i="10"/>
  <c r="MF2" i="10"/>
  <c r="MG2" i="10"/>
  <c r="MH2" i="10"/>
  <c r="MI2" i="10"/>
  <c r="MJ2" i="10"/>
  <c r="MK2" i="10"/>
  <c r="ML2" i="10"/>
  <c r="MM2" i="10"/>
  <c r="MN2" i="10"/>
  <c r="MO2" i="10"/>
  <c r="MP2" i="10"/>
  <c r="MQ2" i="10"/>
  <c r="MR2" i="10"/>
  <c r="MS2" i="10"/>
  <c r="MT2" i="10"/>
  <c r="MU2" i="10"/>
  <c r="MV2" i="10"/>
  <c r="MW2" i="10"/>
  <c r="MX2" i="10"/>
  <c r="MY2" i="10"/>
  <c r="MZ2" i="10"/>
  <c r="NA2" i="10"/>
  <c r="NB2" i="10"/>
  <c r="NC2" i="10"/>
  <c r="ND2" i="10"/>
  <c r="NE2" i="10"/>
  <c r="NF2" i="10"/>
  <c r="NG2" i="10"/>
  <c r="NH2" i="10"/>
  <c r="NI2" i="10"/>
  <c r="NJ2" i="10"/>
  <c r="NK2" i="10"/>
  <c r="NL2" i="10"/>
  <c r="NM2" i="10"/>
  <c r="NN2" i="10"/>
  <c r="NO2" i="10"/>
  <c r="NP2" i="10"/>
  <c r="EP3" i="10"/>
  <c r="EQ3" i="10"/>
  <c r="ER3" i="10"/>
  <c r="ES3" i="10"/>
  <c r="ET3" i="10"/>
  <c r="EU3" i="10"/>
  <c r="EV3" i="10"/>
  <c r="EW3" i="10"/>
  <c r="EX3" i="10"/>
  <c r="EY3" i="10"/>
  <c r="EZ3" i="10"/>
  <c r="FA3" i="10"/>
  <c r="FB3" i="10"/>
  <c r="FC3" i="10"/>
  <c r="FD3" i="10"/>
  <c r="FE3" i="10"/>
  <c r="FF3" i="10"/>
  <c r="FG3" i="10"/>
  <c r="FH3" i="10"/>
  <c r="FI3" i="10"/>
  <c r="FJ3" i="10"/>
  <c r="FK3" i="10"/>
  <c r="FL3" i="10"/>
  <c r="FM3" i="10"/>
  <c r="FN3" i="10"/>
  <c r="FO3" i="10"/>
  <c r="FP3" i="10"/>
  <c r="FQ3" i="10"/>
  <c r="FR3" i="10"/>
  <c r="FS3" i="10"/>
  <c r="FT3" i="10"/>
  <c r="FU3" i="10"/>
  <c r="FV3" i="10"/>
  <c r="FW3" i="10"/>
  <c r="FX3" i="10"/>
  <c r="FY3" i="10"/>
  <c r="FZ3" i="10"/>
  <c r="GA3" i="10"/>
  <c r="GB3" i="10"/>
  <c r="GC3" i="10"/>
  <c r="GD3" i="10"/>
  <c r="GE3" i="10"/>
  <c r="GF3" i="10"/>
  <c r="GG3" i="10"/>
  <c r="GH3" i="10"/>
  <c r="GI3" i="10"/>
  <c r="GJ3" i="10"/>
  <c r="GK3" i="10"/>
  <c r="GL3" i="10"/>
  <c r="GM3" i="10"/>
  <c r="GN3" i="10"/>
  <c r="GO3" i="10"/>
  <c r="GP3" i="10"/>
  <c r="GQ3" i="10"/>
  <c r="GR3" i="10"/>
  <c r="GS3" i="10"/>
  <c r="GT3" i="10"/>
  <c r="GU3" i="10"/>
  <c r="GV3" i="10"/>
  <c r="GW3" i="10"/>
  <c r="GX3" i="10"/>
  <c r="GY3" i="10"/>
  <c r="GZ3" i="10"/>
  <c r="HA3" i="10"/>
  <c r="HB3" i="10"/>
  <c r="HC3" i="10"/>
  <c r="HD3" i="10"/>
  <c r="HE3" i="10"/>
  <c r="HF3" i="10"/>
  <c r="HG3" i="10"/>
  <c r="HH3" i="10"/>
  <c r="HI3" i="10"/>
  <c r="HJ3" i="10"/>
  <c r="HK3" i="10"/>
  <c r="HL3" i="10"/>
  <c r="HM3" i="10"/>
  <c r="HN3" i="10"/>
  <c r="HO3" i="10"/>
  <c r="HP3" i="10"/>
  <c r="HQ3" i="10"/>
  <c r="HR3" i="10"/>
  <c r="HS3" i="10"/>
  <c r="HT3" i="10"/>
  <c r="HU3" i="10"/>
  <c r="HV3" i="10"/>
  <c r="HW3" i="10"/>
  <c r="HX3" i="10"/>
  <c r="HY3" i="10"/>
  <c r="HZ3" i="10"/>
  <c r="IA3" i="10"/>
  <c r="IB3" i="10"/>
  <c r="IC3" i="10"/>
  <c r="ID3" i="10"/>
  <c r="IE3" i="10"/>
  <c r="IF3" i="10"/>
  <c r="IG3" i="10"/>
  <c r="IH3" i="10"/>
  <c r="II3" i="10"/>
  <c r="IJ3" i="10"/>
  <c r="IK3" i="10"/>
  <c r="IL3" i="10"/>
  <c r="IM3" i="10"/>
  <c r="IN3" i="10"/>
  <c r="IO3" i="10"/>
  <c r="IP3" i="10"/>
  <c r="IQ3" i="10"/>
  <c r="IR3" i="10"/>
  <c r="IS3" i="10"/>
  <c r="IT3" i="10"/>
  <c r="IU3" i="10"/>
  <c r="IV3" i="10"/>
  <c r="IW3" i="10"/>
  <c r="IX3" i="10"/>
  <c r="IY3" i="10"/>
  <c r="IZ3" i="10"/>
  <c r="JA3" i="10"/>
  <c r="JB3" i="10"/>
  <c r="JC3" i="10"/>
  <c r="JD3" i="10"/>
  <c r="JE3" i="10"/>
  <c r="JF3" i="10"/>
  <c r="JG3" i="10"/>
  <c r="JH3" i="10"/>
  <c r="JI3" i="10"/>
  <c r="JJ3" i="10"/>
  <c r="JK3" i="10"/>
  <c r="JL3" i="10"/>
  <c r="JM3" i="10"/>
  <c r="JN3" i="10"/>
  <c r="JO3" i="10"/>
  <c r="JP3" i="10"/>
  <c r="JQ3" i="10"/>
  <c r="JR3" i="10"/>
  <c r="JS3" i="10"/>
  <c r="JT3" i="10"/>
  <c r="JU3" i="10"/>
  <c r="JV3" i="10"/>
  <c r="JW3" i="10"/>
  <c r="JX3" i="10"/>
  <c r="JY3" i="10"/>
  <c r="JZ3" i="10"/>
  <c r="KA3" i="10"/>
  <c r="KB3" i="10"/>
  <c r="KC3" i="10"/>
  <c r="KD3" i="10"/>
  <c r="KE3" i="10"/>
  <c r="KF3" i="10"/>
  <c r="KG3" i="10"/>
  <c r="KH3" i="10"/>
  <c r="KI3" i="10"/>
  <c r="KJ3" i="10"/>
  <c r="KK3" i="10"/>
  <c r="KL3" i="10"/>
  <c r="KM3" i="10"/>
  <c r="KN3" i="10"/>
  <c r="KO3" i="10"/>
  <c r="KP3" i="10"/>
  <c r="KQ3" i="10"/>
  <c r="KR3" i="10"/>
  <c r="KS3" i="10"/>
  <c r="KT3" i="10"/>
  <c r="KU3" i="10"/>
  <c r="KV3" i="10"/>
  <c r="KW3" i="10"/>
  <c r="KX3" i="10"/>
  <c r="KY3" i="10"/>
  <c r="KZ3" i="10"/>
  <c r="LA3" i="10"/>
  <c r="LB3" i="10"/>
  <c r="LC3" i="10"/>
  <c r="LD3" i="10"/>
  <c r="LE3" i="10"/>
  <c r="LF3" i="10"/>
  <c r="LG3" i="10"/>
  <c r="LH3" i="10"/>
  <c r="LI3" i="10"/>
  <c r="LJ3" i="10"/>
  <c r="LK3" i="10"/>
  <c r="LL3" i="10"/>
  <c r="LM3" i="10"/>
  <c r="LN3" i="10"/>
  <c r="LO3" i="10"/>
  <c r="LP3" i="10"/>
  <c r="LQ3" i="10"/>
  <c r="LR3" i="10"/>
  <c r="LS3" i="10"/>
  <c r="LT3" i="10"/>
  <c r="LU3" i="10"/>
  <c r="LV3" i="10"/>
  <c r="LW3" i="10"/>
  <c r="LX3" i="10"/>
  <c r="LY3" i="10"/>
  <c r="LZ3" i="10"/>
  <c r="MA3" i="10"/>
  <c r="MB3" i="10"/>
  <c r="MC3" i="10"/>
  <c r="MD3" i="10"/>
  <c r="ME3" i="10"/>
  <c r="MF3" i="10"/>
  <c r="MG3" i="10"/>
  <c r="MH3" i="10"/>
  <c r="MI3" i="10"/>
  <c r="MJ3" i="10"/>
  <c r="MK3" i="10"/>
  <c r="ML3" i="10"/>
  <c r="MM3" i="10"/>
  <c r="MN3" i="10"/>
  <c r="MO3" i="10"/>
  <c r="MP3" i="10"/>
  <c r="MQ3" i="10"/>
  <c r="MR3" i="10"/>
  <c r="MS3" i="10"/>
  <c r="MT3" i="10"/>
  <c r="MU3" i="10"/>
  <c r="MV3" i="10"/>
  <c r="MW3" i="10"/>
  <c r="MX3" i="10"/>
  <c r="MY3" i="10"/>
  <c r="MZ3" i="10"/>
  <c r="NA3" i="10"/>
  <c r="NB3" i="10"/>
  <c r="NC3" i="10"/>
  <c r="ND3" i="10"/>
  <c r="NE3" i="10"/>
  <c r="NF3" i="10"/>
  <c r="NG3" i="10"/>
  <c r="NH3" i="10"/>
  <c r="NI3" i="10"/>
  <c r="NJ3" i="10"/>
  <c r="NK3" i="10"/>
  <c r="NL3" i="10"/>
  <c r="NM3" i="10"/>
  <c r="NN3" i="10"/>
  <c r="NO3" i="10"/>
  <c r="NP3" i="10"/>
  <c r="EP4" i="10"/>
  <c r="EQ4" i="10"/>
  <c r="ER4" i="10"/>
  <c r="ES4" i="10"/>
  <c r="ET4" i="10"/>
  <c r="EU4" i="10"/>
  <c r="EV4" i="10"/>
  <c r="EW4" i="10"/>
  <c r="EX4" i="10"/>
  <c r="EY4" i="10"/>
  <c r="EZ4" i="10"/>
  <c r="FA4" i="10"/>
  <c r="FB4" i="10"/>
  <c r="FC4" i="10"/>
  <c r="FD4" i="10"/>
  <c r="FE4" i="10"/>
  <c r="FF4" i="10"/>
  <c r="FG4" i="10"/>
  <c r="FH4" i="10"/>
  <c r="FI4" i="10"/>
  <c r="FJ4" i="10"/>
  <c r="FK4" i="10"/>
  <c r="FL4" i="10"/>
  <c r="FM4" i="10"/>
  <c r="FN4" i="10"/>
  <c r="FO4" i="10"/>
  <c r="FP4" i="10"/>
  <c r="FQ4" i="10"/>
  <c r="FR4" i="10"/>
  <c r="FS4" i="10"/>
  <c r="FT4" i="10"/>
  <c r="FU4" i="10"/>
  <c r="FV4" i="10"/>
  <c r="FW4" i="10"/>
  <c r="FX4" i="10"/>
  <c r="FY4" i="10"/>
  <c r="FZ4" i="10"/>
  <c r="GA4" i="10"/>
  <c r="GB4" i="10"/>
  <c r="GC4" i="10"/>
  <c r="GD4" i="10"/>
  <c r="GE4" i="10"/>
  <c r="GF4" i="10"/>
  <c r="GG4" i="10"/>
  <c r="GH4" i="10"/>
  <c r="GI4" i="10"/>
  <c r="GJ4" i="10"/>
  <c r="GK4" i="10"/>
  <c r="GL4" i="10"/>
  <c r="GM4" i="10"/>
  <c r="GN4" i="10"/>
  <c r="GO4" i="10"/>
  <c r="GP4" i="10"/>
  <c r="GQ4" i="10"/>
  <c r="GR4" i="10"/>
  <c r="GS4" i="10"/>
  <c r="GT4" i="10"/>
  <c r="GU4" i="10"/>
  <c r="GV4" i="10"/>
  <c r="GW4" i="10"/>
  <c r="GX4" i="10"/>
  <c r="GY4" i="10"/>
  <c r="GZ4" i="10"/>
  <c r="HA4" i="10"/>
  <c r="HB4" i="10"/>
  <c r="HC4" i="10"/>
  <c r="HD4" i="10"/>
  <c r="HE4" i="10"/>
  <c r="HF4" i="10"/>
  <c r="HG4" i="10"/>
  <c r="HH4" i="10"/>
  <c r="HI4" i="10"/>
  <c r="HJ4" i="10"/>
  <c r="HK4" i="10"/>
  <c r="HL4" i="10"/>
  <c r="HM4" i="10"/>
  <c r="HN4" i="10"/>
  <c r="HO4" i="10"/>
  <c r="HP4" i="10"/>
  <c r="HQ4" i="10"/>
  <c r="HR4" i="10"/>
  <c r="HS4" i="10"/>
  <c r="HT4" i="10"/>
  <c r="HU4" i="10"/>
  <c r="HV4" i="10"/>
  <c r="HW4" i="10"/>
  <c r="HX4" i="10"/>
  <c r="HY4" i="10"/>
  <c r="HZ4" i="10"/>
  <c r="IA4" i="10"/>
  <c r="IB4" i="10"/>
  <c r="IC4" i="10"/>
  <c r="ID4" i="10"/>
  <c r="IE4" i="10"/>
  <c r="IF4" i="10"/>
  <c r="IG4" i="10"/>
  <c r="IH4" i="10"/>
  <c r="II4" i="10"/>
  <c r="IJ4" i="10"/>
  <c r="IK4" i="10"/>
  <c r="IL4" i="10"/>
  <c r="IM4" i="10"/>
  <c r="IN4" i="10"/>
  <c r="IO4" i="10"/>
  <c r="IP4" i="10"/>
  <c r="IQ4" i="10"/>
  <c r="IR4" i="10"/>
  <c r="IS4" i="10"/>
  <c r="IT4" i="10"/>
  <c r="IU4" i="10"/>
  <c r="IV4" i="10"/>
  <c r="IW4" i="10"/>
  <c r="IX4" i="10"/>
  <c r="IY4" i="10"/>
  <c r="IZ4" i="10"/>
  <c r="JA4" i="10"/>
  <c r="JB4" i="10"/>
  <c r="JC4" i="10"/>
  <c r="JD4" i="10"/>
  <c r="JE4" i="10"/>
  <c r="JF4" i="10"/>
  <c r="JG4" i="10"/>
  <c r="JH4" i="10"/>
  <c r="JI4" i="10"/>
  <c r="JJ4" i="10"/>
  <c r="JK4" i="10"/>
  <c r="JL4" i="10"/>
  <c r="JM4" i="10"/>
  <c r="JN4" i="10"/>
  <c r="JO4" i="10"/>
  <c r="JP4" i="10"/>
  <c r="JQ4" i="10"/>
  <c r="JR4" i="10"/>
  <c r="JS4" i="10"/>
  <c r="JT4" i="10"/>
  <c r="JU4" i="10"/>
  <c r="JV4" i="10"/>
  <c r="JW4" i="10"/>
  <c r="JX4" i="10"/>
  <c r="JY4" i="10"/>
  <c r="JZ4" i="10"/>
  <c r="KA4" i="10"/>
  <c r="KB4" i="10"/>
  <c r="KC4" i="10"/>
  <c r="KD4" i="10"/>
  <c r="KE4" i="10"/>
  <c r="KF4" i="10"/>
  <c r="KG4" i="10"/>
  <c r="KH4" i="10"/>
  <c r="KI4" i="10"/>
  <c r="KJ4" i="10"/>
  <c r="KK4" i="10"/>
  <c r="KL4" i="10"/>
  <c r="KM4" i="10"/>
  <c r="KN4" i="10"/>
  <c r="KO4" i="10"/>
  <c r="KP4" i="10"/>
  <c r="KQ4" i="10"/>
  <c r="KR4" i="10"/>
  <c r="KS4" i="10"/>
  <c r="KT4" i="10"/>
  <c r="KU4" i="10"/>
  <c r="KV4" i="10"/>
  <c r="KW4" i="10"/>
  <c r="KX4" i="10"/>
  <c r="KY4" i="10"/>
  <c r="KZ4" i="10"/>
  <c r="LA4" i="10"/>
  <c r="LB4" i="10"/>
  <c r="LC4" i="10"/>
  <c r="LD4" i="10"/>
  <c r="LE4" i="10"/>
  <c r="LF4" i="10"/>
  <c r="LG4" i="10"/>
  <c r="LH4" i="10"/>
  <c r="LI4" i="10"/>
  <c r="LJ4" i="10"/>
  <c r="LK4" i="10"/>
  <c r="LL4" i="10"/>
  <c r="LM4" i="10"/>
  <c r="LN4" i="10"/>
  <c r="LO4" i="10"/>
  <c r="LP4" i="10"/>
  <c r="LQ4" i="10"/>
  <c r="LR4" i="10"/>
  <c r="LS4" i="10"/>
  <c r="LT4" i="10"/>
  <c r="LU4" i="10"/>
  <c r="LV4" i="10"/>
  <c r="LW4" i="10"/>
  <c r="LX4" i="10"/>
  <c r="LY4" i="10"/>
  <c r="LZ4" i="10"/>
  <c r="MA4" i="10"/>
  <c r="MB4" i="10"/>
  <c r="MC4" i="10"/>
  <c r="MD4" i="10"/>
  <c r="ME4" i="10"/>
  <c r="MF4" i="10"/>
  <c r="MG4" i="10"/>
  <c r="MH4" i="10"/>
  <c r="MI4" i="10"/>
  <c r="MJ4" i="10"/>
  <c r="MK4" i="10"/>
  <c r="ML4" i="10"/>
  <c r="MM4" i="10"/>
  <c r="MN4" i="10"/>
  <c r="MO4" i="10"/>
  <c r="MP4" i="10"/>
  <c r="MQ4" i="10"/>
  <c r="MR4" i="10"/>
  <c r="MS4" i="10"/>
  <c r="MT4" i="10"/>
  <c r="MU4" i="10"/>
  <c r="MV4" i="10"/>
  <c r="MW4" i="10"/>
  <c r="MX4" i="10"/>
  <c r="MY4" i="10"/>
  <c r="MZ4" i="10"/>
  <c r="NA4" i="10"/>
  <c r="NB4" i="10"/>
  <c r="NC4" i="10"/>
  <c r="ND4" i="10"/>
  <c r="NE4" i="10"/>
  <c r="NF4" i="10"/>
  <c r="NG4" i="10"/>
  <c r="NH4" i="10"/>
  <c r="NI4" i="10"/>
  <c r="NJ4" i="10"/>
  <c r="NK4" i="10"/>
  <c r="NL4" i="10"/>
  <c r="NM4" i="10"/>
  <c r="NN4" i="10"/>
  <c r="NO4" i="10"/>
  <c r="NP4" i="10"/>
  <c r="EP5" i="10"/>
  <c r="EQ5" i="10"/>
  <c r="ER5" i="10"/>
  <c r="ES5" i="10"/>
  <c r="ET5" i="10"/>
  <c r="EU5" i="10"/>
  <c r="EV5" i="10"/>
  <c r="EW5" i="10"/>
  <c r="EX5" i="10"/>
  <c r="EY5" i="10"/>
  <c r="EZ5" i="10"/>
  <c r="FA5" i="10"/>
  <c r="FB5" i="10"/>
  <c r="FC5" i="10"/>
  <c r="FD5" i="10"/>
  <c r="FE5" i="10"/>
  <c r="FF5" i="10"/>
  <c r="FG5" i="10"/>
  <c r="FH5" i="10"/>
  <c r="FI5" i="10"/>
  <c r="FJ5" i="10"/>
  <c r="FK5" i="10"/>
  <c r="FL5" i="10"/>
  <c r="FM5" i="10"/>
  <c r="FN5" i="10"/>
  <c r="FO5" i="10"/>
  <c r="FP5" i="10"/>
  <c r="FQ5" i="10"/>
  <c r="FR5" i="10"/>
  <c r="FS5" i="10"/>
  <c r="FT5" i="10"/>
  <c r="FU5" i="10"/>
  <c r="FV5" i="10"/>
  <c r="FW5" i="10"/>
  <c r="FX5" i="10"/>
  <c r="FY5" i="10"/>
  <c r="FZ5" i="10"/>
  <c r="GA5" i="10"/>
  <c r="GB5" i="10"/>
  <c r="GC5" i="10"/>
  <c r="GD5" i="10"/>
  <c r="GE5" i="10"/>
  <c r="GF5" i="10"/>
  <c r="GG5" i="10"/>
  <c r="GH5" i="10"/>
  <c r="GI5" i="10"/>
  <c r="GJ5" i="10"/>
  <c r="GK5" i="10"/>
  <c r="GL5" i="10"/>
  <c r="GM5" i="10"/>
  <c r="GN5" i="10"/>
  <c r="GO5" i="10"/>
  <c r="GP5" i="10"/>
  <c r="GQ5" i="10"/>
  <c r="GR5" i="10"/>
  <c r="GS5" i="10"/>
  <c r="GT5" i="10"/>
  <c r="GU5" i="10"/>
  <c r="GV5" i="10"/>
  <c r="GW5" i="10"/>
  <c r="GX5" i="10"/>
  <c r="GY5" i="10"/>
  <c r="GZ5" i="10"/>
  <c r="HA5" i="10"/>
  <c r="HB5" i="10"/>
  <c r="HC5" i="10"/>
  <c r="HD5" i="10"/>
  <c r="HE5" i="10"/>
  <c r="HF5" i="10"/>
  <c r="HG5" i="10"/>
  <c r="HH5" i="10"/>
  <c r="HI5" i="10"/>
  <c r="HJ5" i="10"/>
  <c r="HK5" i="10"/>
  <c r="HL5" i="10"/>
  <c r="HM5" i="10"/>
  <c r="HN5" i="10"/>
  <c r="HO5" i="10"/>
  <c r="HP5" i="10"/>
  <c r="HQ5" i="10"/>
  <c r="HR5" i="10"/>
  <c r="HS5" i="10"/>
  <c r="HT5" i="10"/>
  <c r="HU5" i="10"/>
  <c r="HV5" i="10"/>
  <c r="HW5" i="10"/>
  <c r="HX5" i="10"/>
  <c r="HY5" i="10"/>
  <c r="HZ5" i="10"/>
  <c r="IA5" i="10"/>
  <c r="IB5" i="10"/>
  <c r="IC5" i="10"/>
  <c r="ID5" i="10"/>
  <c r="IE5" i="10"/>
  <c r="IF5" i="10"/>
  <c r="IG5" i="10"/>
  <c r="IH5" i="10"/>
  <c r="II5" i="10"/>
  <c r="IJ5" i="10"/>
  <c r="IK5" i="10"/>
  <c r="IL5" i="10"/>
  <c r="IM5" i="10"/>
  <c r="IN5" i="10"/>
  <c r="IO5" i="10"/>
  <c r="IP5" i="10"/>
  <c r="IQ5" i="10"/>
  <c r="IR5" i="10"/>
  <c r="IS5" i="10"/>
  <c r="IT5" i="10"/>
  <c r="IU5" i="10"/>
  <c r="IV5" i="10"/>
  <c r="IW5" i="10"/>
  <c r="IX5" i="10"/>
  <c r="IY5" i="10"/>
  <c r="IZ5" i="10"/>
  <c r="JA5" i="10"/>
  <c r="JB5" i="10"/>
  <c r="JC5" i="10"/>
  <c r="JD5" i="10"/>
  <c r="JE5" i="10"/>
  <c r="JF5" i="10"/>
  <c r="JG5" i="10"/>
  <c r="JH5" i="10"/>
  <c r="JI5" i="10"/>
  <c r="JJ5" i="10"/>
  <c r="JK5" i="10"/>
  <c r="JL5" i="10"/>
  <c r="JM5" i="10"/>
  <c r="JN5" i="10"/>
  <c r="JO5" i="10"/>
  <c r="JP5" i="10"/>
  <c r="JQ5" i="10"/>
  <c r="JR5" i="10"/>
  <c r="JS5" i="10"/>
  <c r="JT5" i="10"/>
  <c r="JU5" i="10"/>
  <c r="JV5" i="10"/>
  <c r="JW5" i="10"/>
  <c r="JX5" i="10"/>
  <c r="JY5" i="10"/>
  <c r="JZ5" i="10"/>
  <c r="KA5" i="10"/>
  <c r="KB5" i="10"/>
  <c r="KC5" i="10"/>
  <c r="KD5" i="10"/>
  <c r="KE5" i="10"/>
  <c r="KF5" i="10"/>
  <c r="KG5" i="10"/>
  <c r="KH5" i="10"/>
  <c r="KI5" i="10"/>
  <c r="KJ5" i="10"/>
  <c r="KK5" i="10"/>
  <c r="KL5" i="10"/>
  <c r="KM5" i="10"/>
  <c r="KN5" i="10"/>
  <c r="KO5" i="10"/>
  <c r="KP5" i="10"/>
  <c r="KQ5" i="10"/>
  <c r="KR5" i="10"/>
  <c r="KS5" i="10"/>
  <c r="KT5" i="10"/>
  <c r="KU5" i="10"/>
  <c r="KV5" i="10"/>
  <c r="KW5" i="10"/>
  <c r="KX5" i="10"/>
  <c r="KY5" i="10"/>
  <c r="KZ5" i="10"/>
  <c r="LA5" i="10"/>
  <c r="LB5" i="10"/>
  <c r="LC5" i="10"/>
  <c r="LD5" i="10"/>
  <c r="LE5" i="10"/>
  <c r="LF5" i="10"/>
  <c r="LG5" i="10"/>
  <c r="LH5" i="10"/>
  <c r="LI5" i="10"/>
  <c r="LJ5" i="10"/>
  <c r="LK5" i="10"/>
  <c r="LL5" i="10"/>
  <c r="LM5" i="10"/>
  <c r="LN5" i="10"/>
  <c r="LO5" i="10"/>
  <c r="LP5" i="10"/>
  <c r="LQ5" i="10"/>
  <c r="LR5" i="10"/>
  <c r="LS5" i="10"/>
  <c r="LT5" i="10"/>
  <c r="LU5" i="10"/>
  <c r="LV5" i="10"/>
  <c r="LW5" i="10"/>
  <c r="LX5" i="10"/>
  <c r="LY5" i="10"/>
  <c r="LZ5" i="10"/>
  <c r="MA5" i="10"/>
  <c r="MB5" i="10"/>
  <c r="MC5" i="10"/>
  <c r="MD5" i="10"/>
  <c r="ME5" i="10"/>
  <c r="MF5" i="10"/>
  <c r="MG5" i="10"/>
  <c r="MH5" i="10"/>
  <c r="MI5" i="10"/>
  <c r="MJ5" i="10"/>
  <c r="MK5" i="10"/>
  <c r="ML5" i="10"/>
  <c r="MM5" i="10"/>
  <c r="MN5" i="10"/>
  <c r="MO5" i="10"/>
  <c r="MP5" i="10"/>
  <c r="MQ5" i="10"/>
  <c r="MR5" i="10"/>
  <c r="MS5" i="10"/>
  <c r="MT5" i="10"/>
  <c r="MU5" i="10"/>
  <c r="MV5" i="10"/>
  <c r="MW5" i="10"/>
  <c r="MX5" i="10"/>
  <c r="MY5" i="10"/>
  <c r="MZ5" i="10"/>
  <c r="NA5" i="10"/>
  <c r="NB5" i="10"/>
  <c r="NC5" i="10"/>
  <c r="ND5" i="10"/>
  <c r="NE5" i="10"/>
  <c r="NF5" i="10"/>
  <c r="NG5" i="10"/>
  <c r="NH5" i="10"/>
  <c r="NI5" i="10"/>
  <c r="NJ5" i="10"/>
  <c r="NK5" i="10"/>
  <c r="NL5" i="10"/>
  <c r="NM5" i="10"/>
  <c r="NN5" i="10"/>
  <c r="NO5" i="10"/>
  <c r="NP5" i="10"/>
  <c r="EP6" i="10"/>
  <c r="EQ6" i="10"/>
  <c r="ER6" i="10"/>
  <c r="ES6" i="10"/>
  <c r="ET6" i="10"/>
  <c r="EU6" i="10"/>
  <c r="EV6" i="10"/>
  <c r="EW6" i="10"/>
  <c r="EX6" i="10"/>
  <c r="EY6" i="10"/>
  <c r="EZ6" i="10"/>
  <c r="FA6" i="10"/>
  <c r="FB6" i="10"/>
  <c r="FC6" i="10"/>
  <c r="FD6" i="10"/>
  <c r="FE6" i="10"/>
  <c r="FF6" i="10"/>
  <c r="FG6" i="10"/>
  <c r="FH6" i="10"/>
  <c r="FI6" i="10"/>
  <c r="FJ6" i="10"/>
  <c r="FK6" i="10"/>
  <c r="FL6" i="10"/>
  <c r="FM6" i="10"/>
  <c r="FN6" i="10"/>
  <c r="FO6" i="10"/>
  <c r="FP6" i="10"/>
  <c r="FQ6" i="10"/>
  <c r="FR6" i="10"/>
  <c r="FS6" i="10"/>
  <c r="FT6" i="10"/>
  <c r="FU6" i="10"/>
  <c r="FV6" i="10"/>
  <c r="FW6" i="10"/>
  <c r="FX6" i="10"/>
  <c r="FY6" i="10"/>
  <c r="FZ6" i="10"/>
  <c r="GA6" i="10"/>
  <c r="GB6" i="10"/>
  <c r="GC6" i="10"/>
  <c r="GD6" i="10"/>
  <c r="GE6" i="10"/>
  <c r="GF6" i="10"/>
  <c r="GG6" i="10"/>
  <c r="GH6" i="10"/>
  <c r="GI6" i="10"/>
  <c r="GJ6" i="10"/>
  <c r="GK6" i="10"/>
  <c r="GL6" i="10"/>
  <c r="GM6" i="10"/>
  <c r="GN6" i="10"/>
  <c r="GO6" i="10"/>
  <c r="GP6" i="10"/>
  <c r="GQ6" i="10"/>
  <c r="GR6" i="10"/>
  <c r="GS6" i="10"/>
  <c r="GT6" i="10"/>
  <c r="GU6" i="10"/>
  <c r="GV6" i="10"/>
  <c r="GW6" i="10"/>
  <c r="GX6" i="10"/>
  <c r="GY6" i="10"/>
  <c r="GZ6" i="10"/>
  <c r="HA6" i="10"/>
  <c r="HB6" i="10"/>
  <c r="HC6" i="10"/>
  <c r="HD6" i="10"/>
  <c r="HE6" i="10"/>
  <c r="HF6" i="10"/>
  <c r="HG6" i="10"/>
  <c r="HH6" i="10"/>
  <c r="HI6" i="10"/>
  <c r="HJ6" i="10"/>
  <c r="HK6" i="10"/>
  <c r="HL6" i="10"/>
  <c r="HM6" i="10"/>
  <c r="HN6" i="10"/>
  <c r="HO6" i="10"/>
  <c r="HP6" i="10"/>
  <c r="HQ6" i="10"/>
  <c r="HR6" i="10"/>
  <c r="HS6" i="10"/>
  <c r="HT6" i="10"/>
  <c r="HU6" i="10"/>
  <c r="HV6" i="10"/>
  <c r="HW6" i="10"/>
  <c r="HX6" i="10"/>
  <c r="HY6" i="10"/>
  <c r="HZ6" i="10"/>
  <c r="IA6" i="10"/>
  <c r="IB6" i="10"/>
  <c r="IC6" i="10"/>
  <c r="ID6" i="10"/>
  <c r="IE6" i="10"/>
  <c r="IF6" i="10"/>
  <c r="IG6" i="10"/>
  <c r="IH6" i="10"/>
  <c r="II6" i="10"/>
  <c r="IJ6" i="10"/>
  <c r="IK6" i="10"/>
  <c r="IL6" i="10"/>
  <c r="IM6" i="10"/>
  <c r="IN6" i="10"/>
  <c r="IO6" i="10"/>
  <c r="IP6" i="10"/>
  <c r="IQ6" i="10"/>
  <c r="IR6" i="10"/>
  <c r="IS6" i="10"/>
  <c r="IT6" i="10"/>
  <c r="IU6" i="10"/>
  <c r="IV6" i="10"/>
  <c r="IW6" i="10"/>
  <c r="IX6" i="10"/>
  <c r="IY6" i="10"/>
  <c r="IZ6" i="10"/>
  <c r="JA6" i="10"/>
  <c r="JB6" i="10"/>
  <c r="JC6" i="10"/>
  <c r="JD6" i="10"/>
  <c r="JE6" i="10"/>
  <c r="JF6" i="10"/>
  <c r="JG6" i="10"/>
  <c r="JH6" i="10"/>
  <c r="JI6" i="10"/>
  <c r="JJ6" i="10"/>
  <c r="JK6" i="10"/>
  <c r="JL6" i="10"/>
  <c r="JM6" i="10"/>
  <c r="JN6" i="10"/>
  <c r="JO6" i="10"/>
  <c r="JP6" i="10"/>
  <c r="JQ6" i="10"/>
  <c r="JR6" i="10"/>
  <c r="JS6" i="10"/>
  <c r="JT6" i="10"/>
  <c r="JU6" i="10"/>
  <c r="JV6" i="10"/>
  <c r="JW6" i="10"/>
  <c r="JX6" i="10"/>
  <c r="JY6" i="10"/>
  <c r="JZ6" i="10"/>
  <c r="KA6" i="10"/>
  <c r="KB6" i="10"/>
  <c r="KC6" i="10"/>
  <c r="KD6" i="10"/>
  <c r="KE6" i="10"/>
  <c r="KF6" i="10"/>
  <c r="KG6" i="10"/>
  <c r="KH6" i="10"/>
  <c r="KI6" i="10"/>
  <c r="KJ6" i="10"/>
  <c r="KK6" i="10"/>
  <c r="KL6" i="10"/>
  <c r="KM6" i="10"/>
  <c r="KN6" i="10"/>
  <c r="KO6" i="10"/>
  <c r="KP6" i="10"/>
  <c r="KQ6" i="10"/>
  <c r="KR6" i="10"/>
  <c r="KS6" i="10"/>
  <c r="KT6" i="10"/>
  <c r="KU6" i="10"/>
  <c r="KV6" i="10"/>
  <c r="KW6" i="10"/>
  <c r="KX6" i="10"/>
  <c r="KY6" i="10"/>
  <c r="KZ6" i="10"/>
  <c r="LA6" i="10"/>
  <c r="LB6" i="10"/>
  <c r="LC6" i="10"/>
  <c r="LD6" i="10"/>
  <c r="LE6" i="10"/>
  <c r="LF6" i="10"/>
  <c r="LG6" i="10"/>
  <c r="LH6" i="10"/>
  <c r="LI6" i="10"/>
  <c r="LJ6" i="10"/>
  <c r="LK6" i="10"/>
  <c r="LL6" i="10"/>
  <c r="LM6" i="10"/>
  <c r="LN6" i="10"/>
  <c r="LO6" i="10"/>
  <c r="LP6" i="10"/>
  <c r="LQ6" i="10"/>
  <c r="LR6" i="10"/>
  <c r="LS6" i="10"/>
  <c r="LT6" i="10"/>
  <c r="LU6" i="10"/>
  <c r="LV6" i="10"/>
  <c r="LW6" i="10"/>
  <c r="LX6" i="10"/>
  <c r="LY6" i="10"/>
  <c r="LZ6" i="10"/>
  <c r="MA6" i="10"/>
  <c r="MB6" i="10"/>
  <c r="MC6" i="10"/>
  <c r="MD6" i="10"/>
  <c r="ME6" i="10"/>
  <c r="MF6" i="10"/>
  <c r="MG6" i="10"/>
  <c r="MH6" i="10"/>
  <c r="MI6" i="10"/>
  <c r="MJ6" i="10"/>
  <c r="MK6" i="10"/>
  <c r="ML6" i="10"/>
  <c r="MM6" i="10"/>
  <c r="MN6" i="10"/>
  <c r="MO6" i="10"/>
  <c r="MP6" i="10"/>
  <c r="MQ6" i="10"/>
  <c r="MR6" i="10"/>
  <c r="MS6" i="10"/>
  <c r="MT6" i="10"/>
  <c r="MU6" i="10"/>
  <c r="MV6" i="10"/>
  <c r="MW6" i="10"/>
  <c r="MX6" i="10"/>
  <c r="MY6" i="10"/>
  <c r="MZ6" i="10"/>
  <c r="NA6" i="10"/>
  <c r="NB6" i="10"/>
  <c r="NC6" i="10"/>
  <c r="ND6" i="10"/>
  <c r="NE6" i="10"/>
  <c r="NF6" i="10"/>
  <c r="NG6" i="10"/>
  <c r="NH6" i="10"/>
  <c r="NI6" i="10"/>
  <c r="NJ6" i="10"/>
  <c r="NK6" i="10"/>
  <c r="NL6" i="10"/>
  <c r="NM6" i="10"/>
  <c r="NN6" i="10"/>
  <c r="NO6" i="10"/>
  <c r="NP6" i="10"/>
  <c r="EP7" i="10"/>
  <c r="EQ7" i="10"/>
  <c r="ER7" i="10"/>
  <c r="ES7" i="10"/>
  <c r="ET7" i="10"/>
  <c r="EU7" i="10"/>
  <c r="EV7" i="10"/>
  <c r="EW7" i="10"/>
  <c r="EX7" i="10"/>
  <c r="EY7" i="10"/>
  <c r="EZ7" i="10"/>
  <c r="FA7" i="10"/>
  <c r="FB7" i="10"/>
  <c r="FC7" i="10"/>
  <c r="FD7" i="10"/>
  <c r="FE7" i="10"/>
  <c r="FF7" i="10"/>
  <c r="FG7" i="10"/>
  <c r="FH7" i="10"/>
  <c r="FI7" i="10"/>
  <c r="FJ7" i="10"/>
  <c r="FK7" i="10"/>
  <c r="FL7" i="10"/>
  <c r="FM7" i="10"/>
  <c r="FN7" i="10"/>
  <c r="FO7" i="10"/>
  <c r="FP7" i="10"/>
  <c r="FQ7" i="10"/>
  <c r="FR7" i="10"/>
  <c r="FS7" i="10"/>
  <c r="FT7" i="10"/>
  <c r="FU7" i="10"/>
  <c r="FV7" i="10"/>
  <c r="FW7" i="10"/>
  <c r="FX7" i="10"/>
  <c r="FY7" i="10"/>
  <c r="FZ7" i="10"/>
  <c r="GA7" i="10"/>
  <c r="GB7" i="10"/>
  <c r="GC7" i="10"/>
  <c r="GD7" i="10"/>
  <c r="GE7" i="10"/>
  <c r="GF7" i="10"/>
  <c r="GG7" i="10"/>
  <c r="GH7" i="10"/>
  <c r="GI7" i="10"/>
  <c r="GJ7" i="10"/>
  <c r="GK7" i="10"/>
  <c r="GL7" i="10"/>
  <c r="GM7" i="10"/>
  <c r="GN7" i="10"/>
  <c r="GO7" i="10"/>
  <c r="GP7" i="10"/>
  <c r="GQ7" i="10"/>
  <c r="GR7" i="10"/>
  <c r="GS7" i="10"/>
  <c r="GT7" i="10"/>
  <c r="GU7" i="10"/>
  <c r="GV7" i="10"/>
  <c r="GW7" i="10"/>
  <c r="GX7" i="10"/>
  <c r="GY7" i="10"/>
  <c r="GZ7" i="10"/>
  <c r="HA7" i="10"/>
  <c r="HB7" i="10"/>
  <c r="HC7" i="10"/>
  <c r="HD7" i="10"/>
  <c r="HE7" i="10"/>
  <c r="HF7" i="10"/>
  <c r="HG7" i="10"/>
  <c r="HH7" i="10"/>
  <c r="HI7" i="10"/>
  <c r="HJ7" i="10"/>
  <c r="HK7" i="10"/>
  <c r="HL7" i="10"/>
  <c r="HM7" i="10"/>
  <c r="HN7" i="10"/>
  <c r="HO7" i="10"/>
  <c r="HP7" i="10"/>
  <c r="HP9" i="10" s="1"/>
  <c r="HQ7" i="10"/>
  <c r="HR7" i="10"/>
  <c r="HS7" i="10"/>
  <c r="HT7" i="10"/>
  <c r="HT9" i="10" s="1"/>
  <c r="HU7" i="10"/>
  <c r="HV7" i="10"/>
  <c r="HW7" i="10"/>
  <c r="HX7" i="10"/>
  <c r="HX9" i="10" s="1"/>
  <c r="HY7" i="10"/>
  <c r="HZ7" i="10"/>
  <c r="IA7" i="10"/>
  <c r="IB7" i="10"/>
  <c r="IB9" i="10" s="1"/>
  <c r="IC7" i="10"/>
  <c r="ID7" i="10"/>
  <c r="IE7" i="10"/>
  <c r="IF7" i="10"/>
  <c r="IF9" i="10" s="1"/>
  <c r="IG7" i="10"/>
  <c r="IH7" i="10"/>
  <c r="II7" i="10"/>
  <c r="IJ7" i="10"/>
  <c r="IJ9" i="10" s="1"/>
  <c r="IK7" i="10"/>
  <c r="IL7" i="10"/>
  <c r="IM7" i="10"/>
  <c r="IN7" i="10"/>
  <c r="IN9" i="10" s="1"/>
  <c r="IO7" i="10"/>
  <c r="IP7" i="10"/>
  <c r="IQ7" i="10"/>
  <c r="IR7" i="10"/>
  <c r="IR9" i="10" s="1"/>
  <c r="IS7" i="10"/>
  <c r="IT7" i="10"/>
  <c r="IU7" i="10"/>
  <c r="IV7" i="10"/>
  <c r="IV9" i="10" s="1"/>
  <c r="IW7" i="10"/>
  <c r="IX7" i="10"/>
  <c r="IY7" i="10"/>
  <c r="IZ7" i="10"/>
  <c r="IZ9" i="10" s="1"/>
  <c r="JA7" i="10"/>
  <c r="JB7" i="10"/>
  <c r="JC7" i="10"/>
  <c r="JD7" i="10"/>
  <c r="JD9" i="10" s="1"/>
  <c r="JE7" i="10"/>
  <c r="JF7" i="10"/>
  <c r="JG7" i="10"/>
  <c r="JH7" i="10"/>
  <c r="JH9" i="10" s="1"/>
  <c r="JI7" i="10"/>
  <c r="JJ7" i="10"/>
  <c r="JK7" i="10"/>
  <c r="JL7" i="10"/>
  <c r="JL9" i="10" s="1"/>
  <c r="JM7" i="10"/>
  <c r="JM9" i="10" s="1"/>
  <c r="JN7" i="10"/>
  <c r="JO7" i="10"/>
  <c r="JP7" i="10"/>
  <c r="JP9" i="10" s="1"/>
  <c r="JQ7" i="10"/>
  <c r="JR7" i="10"/>
  <c r="JS7" i="10"/>
  <c r="JT7" i="10"/>
  <c r="JT9" i="10" s="1"/>
  <c r="JU7" i="10"/>
  <c r="JU9" i="10" s="1"/>
  <c r="JV7" i="10"/>
  <c r="JW7" i="10"/>
  <c r="JX7" i="10"/>
  <c r="JX9" i="10" s="1"/>
  <c r="JY7" i="10"/>
  <c r="JY9" i="10" s="1"/>
  <c r="JZ7" i="10"/>
  <c r="KA7" i="10"/>
  <c r="KB7" i="10"/>
  <c r="KB9" i="10" s="1"/>
  <c r="KC7" i="10"/>
  <c r="KC9" i="10" s="1"/>
  <c r="KD7" i="10"/>
  <c r="KE7" i="10"/>
  <c r="KF7" i="10"/>
  <c r="KF9" i="10" s="1"/>
  <c r="KG7" i="10"/>
  <c r="KG9" i="10" s="1"/>
  <c r="KH7" i="10"/>
  <c r="KI7" i="10"/>
  <c r="KJ7" i="10"/>
  <c r="KJ9" i="10" s="1"/>
  <c r="KK7" i="10"/>
  <c r="KK9" i="10" s="1"/>
  <c r="KL7" i="10"/>
  <c r="KM7" i="10"/>
  <c r="KN7" i="10"/>
  <c r="KN9" i="10" s="1"/>
  <c r="KO7" i="10"/>
  <c r="KO9" i="10" s="1"/>
  <c r="KP7" i="10"/>
  <c r="KQ7" i="10"/>
  <c r="KR7" i="10"/>
  <c r="KR9" i="10" s="1"/>
  <c r="KS7" i="10"/>
  <c r="KS9" i="10" s="1"/>
  <c r="KT7" i="10"/>
  <c r="KU7" i="10"/>
  <c r="KV7" i="10"/>
  <c r="KV9" i="10" s="1"/>
  <c r="KW7" i="10"/>
  <c r="KW9" i="10" s="1"/>
  <c r="KX7" i="10"/>
  <c r="KY7" i="10"/>
  <c r="KZ7" i="10"/>
  <c r="KZ9" i="10" s="1"/>
  <c r="LA7" i="10"/>
  <c r="LA9" i="10" s="1"/>
  <c r="LB7" i="10"/>
  <c r="LC7" i="10"/>
  <c r="LD7" i="10"/>
  <c r="LD9" i="10" s="1"/>
  <c r="LE7" i="10"/>
  <c r="LE9" i="10" s="1"/>
  <c r="LF7" i="10"/>
  <c r="LG7" i="10"/>
  <c r="LH7" i="10"/>
  <c r="LH9" i="10" s="1"/>
  <c r="LI7" i="10"/>
  <c r="LI9" i="10" s="1"/>
  <c r="LJ7" i="10"/>
  <c r="LK7" i="10"/>
  <c r="LL7" i="10"/>
  <c r="LL9" i="10" s="1"/>
  <c r="LM7" i="10"/>
  <c r="LM9" i="10" s="1"/>
  <c r="LN7" i="10"/>
  <c r="LO7" i="10"/>
  <c r="LP7" i="10"/>
  <c r="LP9" i="10" s="1"/>
  <c r="LQ7" i="10"/>
  <c r="LR7" i="10"/>
  <c r="LS7" i="10"/>
  <c r="LT7" i="10"/>
  <c r="LT9" i="10" s="1"/>
  <c r="LU7" i="10"/>
  <c r="LU9" i="10" s="1"/>
  <c r="LV7" i="10"/>
  <c r="LV9" i="10" s="1"/>
  <c r="LW7" i="10"/>
  <c r="LX7" i="10"/>
  <c r="LX9" i="10" s="1"/>
  <c r="LY7" i="10"/>
  <c r="LY9" i="10" s="1"/>
  <c r="LZ7" i="10"/>
  <c r="LZ9" i="10" s="1"/>
  <c r="MA7" i="10"/>
  <c r="MB7" i="10"/>
  <c r="MB9" i="10" s="1"/>
  <c r="MC7" i="10"/>
  <c r="MC9" i="10" s="1"/>
  <c r="MD7" i="10"/>
  <c r="MD9" i="10" s="1"/>
  <c r="ME7" i="10"/>
  <c r="MF7" i="10"/>
  <c r="MF9" i="10" s="1"/>
  <c r="MG7" i="10"/>
  <c r="MG9" i="10" s="1"/>
  <c r="MH7" i="10"/>
  <c r="MH9" i="10" s="1"/>
  <c r="MI7" i="10"/>
  <c r="MJ7" i="10"/>
  <c r="MJ9" i="10" s="1"/>
  <c r="MK7" i="10"/>
  <c r="MK9" i="10" s="1"/>
  <c r="ML7" i="10"/>
  <c r="ML9" i="10" s="1"/>
  <c r="MM7" i="10"/>
  <c r="MM9" i="10" s="1"/>
  <c r="MN7" i="10"/>
  <c r="MN9" i="10" s="1"/>
  <c r="MO7" i="10"/>
  <c r="MO9" i="10" s="1"/>
  <c r="MP7" i="10"/>
  <c r="MP9" i="10" s="1"/>
  <c r="MQ7" i="10"/>
  <c r="MR7" i="10"/>
  <c r="MR9" i="10" s="1"/>
  <c r="MS7" i="10"/>
  <c r="MS9" i="10" s="1"/>
  <c r="MT7" i="10"/>
  <c r="MT9" i="10" s="1"/>
  <c r="MU7" i="10"/>
  <c r="MU9" i="10" s="1"/>
  <c r="MV7" i="10"/>
  <c r="MV9" i="10" s="1"/>
  <c r="MW7" i="10"/>
  <c r="MW9" i="10" s="1"/>
  <c r="MX7" i="10"/>
  <c r="MX9" i="10" s="1"/>
  <c r="MY7" i="10"/>
  <c r="MZ7" i="10"/>
  <c r="MZ9" i="10" s="1"/>
  <c r="NA7" i="10"/>
  <c r="NA9" i="10" s="1"/>
  <c r="NB7" i="10"/>
  <c r="NB9" i="10" s="1"/>
  <c r="NC7" i="10"/>
  <c r="NC9" i="10" s="1"/>
  <c r="ND7" i="10"/>
  <c r="ND9" i="10" s="1"/>
  <c r="NE7" i="10"/>
  <c r="NE9" i="10" s="1"/>
  <c r="NF7" i="10"/>
  <c r="NF9" i="10" s="1"/>
  <c r="NG7" i="10"/>
  <c r="NH7" i="10"/>
  <c r="NH9" i="10" s="1"/>
  <c r="NI7" i="10"/>
  <c r="NI9" i="10" s="1"/>
  <c r="NJ7" i="10"/>
  <c r="NJ9" i="10" s="1"/>
  <c r="NK7" i="10"/>
  <c r="NK9" i="10" s="1"/>
  <c r="NL7" i="10"/>
  <c r="NL9" i="10" s="1"/>
  <c r="NM7" i="10"/>
  <c r="NM9" i="10" s="1"/>
  <c r="NN7" i="10"/>
  <c r="NN9" i="10" s="1"/>
  <c r="NO7" i="10"/>
  <c r="NP7" i="10"/>
  <c r="NP9" i="10" s="1"/>
  <c r="EP8" i="10"/>
  <c r="EQ8" i="10"/>
  <c r="ER8" i="10"/>
  <c r="ES8" i="10"/>
  <c r="ET8" i="10"/>
  <c r="EU8" i="10"/>
  <c r="EV8" i="10"/>
  <c r="EW8" i="10"/>
  <c r="EX8" i="10"/>
  <c r="EY8" i="10"/>
  <c r="EZ8" i="10"/>
  <c r="FA8" i="10"/>
  <c r="FB8" i="10"/>
  <c r="FC8" i="10"/>
  <c r="FD8" i="10"/>
  <c r="FE8" i="10"/>
  <c r="FF8" i="10"/>
  <c r="FG8" i="10"/>
  <c r="FH8" i="10"/>
  <c r="FI8" i="10"/>
  <c r="FJ8" i="10"/>
  <c r="FK8" i="10"/>
  <c r="FL8" i="10"/>
  <c r="FM8" i="10"/>
  <c r="FN8" i="10"/>
  <c r="FO8" i="10"/>
  <c r="FP8" i="10"/>
  <c r="FQ8" i="10"/>
  <c r="FR8" i="10"/>
  <c r="FS8" i="10"/>
  <c r="FT8" i="10"/>
  <c r="FU8" i="10"/>
  <c r="FV8" i="10"/>
  <c r="FW8" i="10"/>
  <c r="FX8" i="10"/>
  <c r="FY8" i="10"/>
  <c r="FZ8" i="10"/>
  <c r="GA8" i="10"/>
  <c r="GB8" i="10"/>
  <c r="GC8" i="10"/>
  <c r="GD8" i="10"/>
  <c r="GE8" i="10"/>
  <c r="GF8" i="10"/>
  <c r="GG8" i="10"/>
  <c r="GH8" i="10"/>
  <c r="GI8" i="10"/>
  <c r="GJ8" i="10"/>
  <c r="GK8" i="10"/>
  <c r="GL8" i="10"/>
  <c r="GM8" i="10"/>
  <c r="GN8" i="10"/>
  <c r="GO8" i="10"/>
  <c r="GP8" i="10"/>
  <c r="GQ8" i="10"/>
  <c r="GR8" i="10"/>
  <c r="GS8" i="10"/>
  <c r="GT8" i="10"/>
  <c r="GU8" i="10"/>
  <c r="GV8" i="10"/>
  <c r="GW8" i="10"/>
  <c r="GX8" i="10"/>
  <c r="GY8" i="10"/>
  <c r="GZ8" i="10"/>
  <c r="HA8" i="10"/>
  <c r="HB8" i="10"/>
  <c r="HC8" i="10"/>
  <c r="HD8" i="10"/>
  <c r="HE8" i="10"/>
  <c r="HF8" i="10"/>
  <c r="HG8" i="10"/>
  <c r="HH8" i="10"/>
  <c r="HI8" i="10"/>
  <c r="HJ8" i="10"/>
  <c r="HK8" i="10"/>
  <c r="HL8" i="10"/>
  <c r="HM8" i="10"/>
  <c r="HN8" i="10"/>
  <c r="HO8" i="10"/>
  <c r="HP8" i="10"/>
  <c r="HQ8" i="10"/>
  <c r="HR8" i="10"/>
  <c r="HS8" i="10"/>
  <c r="HT8" i="10"/>
  <c r="HU8" i="10"/>
  <c r="HV8" i="10"/>
  <c r="HW8" i="10"/>
  <c r="HX8" i="10"/>
  <c r="HY8" i="10"/>
  <c r="HZ8" i="10"/>
  <c r="IA8" i="10"/>
  <c r="IB8" i="10"/>
  <c r="IC8" i="10"/>
  <c r="ID8" i="10"/>
  <c r="IE8" i="10"/>
  <c r="IF8" i="10"/>
  <c r="IG8" i="10"/>
  <c r="IH8" i="10"/>
  <c r="II8" i="10"/>
  <c r="IJ8" i="10"/>
  <c r="IK8" i="10"/>
  <c r="IL8" i="10"/>
  <c r="IM8" i="10"/>
  <c r="IN8" i="10"/>
  <c r="IO8" i="10"/>
  <c r="IP8" i="10"/>
  <c r="IQ8" i="10"/>
  <c r="IR8" i="10"/>
  <c r="IS8" i="10"/>
  <c r="IT8" i="10"/>
  <c r="IU8" i="10"/>
  <c r="IV8" i="10"/>
  <c r="IW8" i="10"/>
  <c r="IX8" i="10"/>
  <c r="IY8" i="10"/>
  <c r="IZ8" i="10"/>
  <c r="JA8" i="10"/>
  <c r="JB8" i="10"/>
  <c r="JC8" i="10"/>
  <c r="JD8" i="10"/>
  <c r="JE8" i="10"/>
  <c r="JF8" i="10"/>
  <c r="JG8" i="10"/>
  <c r="JH8" i="10"/>
  <c r="JI8" i="10"/>
  <c r="JJ8" i="10"/>
  <c r="JK8" i="10"/>
  <c r="JL8" i="10"/>
  <c r="JM8" i="10"/>
  <c r="JN8" i="10"/>
  <c r="JO8" i="10"/>
  <c r="JP8" i="10"/>
  <c r="JQ8" i="10"/>
  <c r="JR8" i="10"/>
  <c r="JS8" i="10"/>
  <c r="JT8" i="10"/>
  <c r="JU8" i="10"/>
  <c r="JV8" i="10"/>
  <c r="JW8" i="10"/>
  <c r="JX8" i="10"/>
  <c r="JY8" i="10"/>
  <c r="JZ8" i="10"/>
  <c r="KA8" i="10"/>
  <c r="KB8" i="10"/>
  <c r="KC8" i="10"/>
  <c r="KD8" i="10"/>
  <c r="KE8" i="10"/>
  <c r="KF8" i="10"/>
  <c r="KG8" i="10"/>
  <c r="KH8" i="10"/>
  <c r="KI8" i="10"/>
  <c r="KJ8" i="10"/>
  <c r="KK8" i="10"/>
  <c r="KL8" i="10"/>
  <c r="KM8" i="10"/>
  <c r="KN8" i="10"/>
  <c r="KO8" i="10"/>
  <c r="KP8" i="10"/>
  <c r="KQ8" i="10"/>
  <c r="KR8" i="10"/>
  <c r="KS8" i="10"/>
  <c r="KT8" i="10"/>
  <c r="KU8" i="10"/>
  <c r="KV8" i="10"/>
  <c r="KW8" i="10"/>
  <c r="KX8" i="10"/>
  <c r="KY8" i="10"/>
  <c r="KZ8" i="10"/>
  <c r="LA8" i="10"/>
  <c r="LB8" i="10"/>
  <c r="LC8" i="10"/>
  <c r="LD8" i="10"/>
  <c r="LE8" i="10"/>
  <c r="LF8" i="10"/>
  <c r="LG8" i="10"/>
  <c r="LH8" i="10"/>
  <c r="LI8" i="10"/>
  <c r="LJ8" i="10"/>
  <c r="LK8" i="10"/>
  <c r="LL8" i="10"/>
  <c r="LM8" i="10"/>
  <c r="LN8" i="10"/>
  <c r="LO8" i="10"/>
  <c r="LP8" i="10"/>
  <c r="LQ8" i="10"/>
  <c r="LR8" i="10"/>
  <c r="LS8" i="10"/>
  <c r="LT8" i="10"/>
  <c r="LU8" i="10"/>
  <c r="LV8" i="10"/>
  <c r="LW8" i="10"/>
  <c r="LX8" i="10"/>
  <c r="LY8" i="10"/>
  <c r="LZ8" i="10"/>
  <c r="MA8" i="10"/>
  <c r="MB8" i="10"/>
  <c r="MC8" i="10"/>
  <c r="MD8" i="10"/>
  <c r="ME8" i="10"/>
  <c r="MF8" i="10"/>
  <c r="MG8" i="10"/>
  <c r="MH8" i="10"/>
  <c r="MI8" i="10"/>
  <c r="MJ8" i="10"/>
  <c r="MK8" i="10"/>
  <c r="ML8" i="10"/>
  <c r="MM8" i="10"/>
  <c r="MN8" i="10"/>
  <c r="MO8" i="10"/>
  <c r="MP8" i="10"/>
  <c r="MQ8" i="10"/>
  <c r="MR8" i="10"/>
  <c r="MS8" i="10"/>
  <c r="MT8" i="10"/>
  <c r="MU8" i="10"/>
  <c r="MV8" i="10"/>
  <c r="MW8" i="10"/>
  <c r="MX8" i="10"/>
  <c r="MY8" i="10"/>
  <c r="MZ8" i="10"/>
  <c r="NA8" i="10"/>
  <c r="NB8" i="10"/>
  <c r="NC8" i="10"/>
  <c r="ND8" i="10"/>
  <c r="NE8" i="10"/>
  <c r="NF8" i="10"/>
  <c r="NG8" i="10"/>
  <c r="NH8" i="10"/>
  <c r="NI8" i="10"/>
  <c r="NJ8" i="10"/>
  <c r="NK8" i="10"/>
  <c r="NL8" i="10"/>
  <c r="NM8" i="10"/>
  <c r="NN8" i="10"/>
  <c r="NO8" i="10"/>
  <c r="NP8" i="10"/>
  <c r="EP9" i="10"/>
  <c r="EQ9" i="10"/>
  <c r="ER9" i="10"/>
  <c r="ES9" i="10"/>
  <c r="ET9" i="10"/>
  <c r="EU9" i="10"/>
  <c r="EV9" i="10"/>
  <c r="EW9" i="10"/>
  <c r="EX9" i="10"/>
  <c r="EY9" i="10"/>
  <c r="EZ9" i="10"/>
  <c r="FA9" i="10"/>
  <c r="FB9" i="10"/>
  <c r="FC9" i="10"/>
  <c r="FD9" i="10"/>
  <c r="FE9" i="10"/>
  <c r="FF9" i="10"/>
  <c r="FG9" i="10"/>
  <c r="FH9" i="10"/>
  <c r="FI9" i="10"/>
  <c r="FJ9" i="10"/>
  <c r="FK9" i="10"/>
  <c r="FL9" i="10"/>
  <c r="FM9" i="10"/>
  <c r="FN9" i="10"/>
  <c r="FO9" i="10"/>
  <c r="FP9" i="10"/>
  <c r="FQ9" i="10"/>
  <c r="FR9" i="10"/>
  <c r="FS9" i="10"/>
  <c r="FT9" i="10"/>
  <c r="FU9" i="10"/>
  <c r="FV9" i="10"/>
  <c r="FW9" i="10"/>
  <c r="FX9" i="10"/>
  <c r="FY9" i="10"/>
  <c r="FZ9" i="10"/>
  <c r="GA9" i="10"/>
  <c r="GB9" i="10"/>
  <c r="GC9" i="10"/>
  <c r="GD9" i="10"/>
  <c r="GE9" i="10"/>
  <c r="GF9" i="10"/>
  <c r="GG9" i="10"/>
  <c r="GH9" i="10"/>
  <c r="GI9" i="10"/>
  <c r="GJ9" i="10"/>
  <c r="GK9" i="10"/>
  <c r="GL9" i="10"/>
  <c r="GM9" i="10"/>
  <c r="GN9" i="10"/>
  <c r="GO9" i="10"/>
  <c r="GP9" i="10"/>
  <c r="GQ9" i="10"/>
  <c r="GR9" i="10"/>
  <c r="GS9" i="10"/>
  <c r="GT9" i="10"/>
  <c r="GU9" i="10"/>
  <c r="GV9" i="10"/>
  <c r="GW9" i="10"/>
  <c r="GX9" i="10"/>
  <c r="GY9" i="10"/>
  <c r="GZ9" i="10"/>
  <c r="HA9" i="10"/>
  <c r="HB9" i="10"/>
  <c r="HC9" i="10"/>
  <c r="HD9" i="10"/>
  <c r="HE9" i="10"/>
  <c r="HF9" i="10"/>
  <c r="HG9" i="10"/>
  <c r="HH9" i="10"/>
  <c r="HI9" i="10"/>
  <c r="HJ9" i="10"/>
  <c r="HK9" i="10"/>
  <c r="HL9" i="10"/>
  <c r="HM9" i="10"/>
  <c r="HN9" i="10"/>
  <c r="HO9" i="10"/>
  <c r="HQ9" i="10"/>
  <c r="HR9" i="10"/>
  <c r="HS9" i="10"/>
  <c r="HU9" i="10"/>
  <c r="HV9" i="10"/>
  <c r="HW9" i="10"/>
  <c r="HY9" i="10"/>
  <c r="HZ9" i="10"/>
  <c r="IA9" i="10"/>
  <c r="IC9" i="10"/>
  <c r="ID9" i="10"/>
  <c r="IE9" i="10"/>
  <c r="IG9" i="10"/>
  <c r="IH9" i="10"/>
  <c r="II9" i="10"/>
  <c r="IK9" i="10"/>
  <c r="IL9" i="10"/>
  <c r="IM9" i="10"/>
  <c r="IO9" i="10"/>
  <c r="IP9" i="10"/>
  <c r="IQ9" i="10"/>
  <c r="IS9" i="10"/>
  <c r="IT9" i="10"/>
  <c r="IU9" i="10"/>
  <c r="IW9" i="10"/>
  <c r="IX9" i="10"/>
  <c r="IY9" i="10"/>
  <c r="JA9" i="10"/>
  <c r="JB9" i="10"/>
  <c r="JC9" i="10"/>
  <c r="JE9" i="10"/>
  <c r="JF9" i="10"/>
  <c r="JG9" i="10"/>
  <c r="JI9" i="10"/>
  <c r="JJ9" i="10"/>
  <c r="JK9" i="10"/>
  <c r="JN9" i="10"/>
  <c r="JO9" i="10"/>
  <c r="JQ9" i="10"/>
  <c r="JR9" i="10"/>
  <c r="JS9" i="10"/>
  <c r="JV9" i="10"/>
  <c r="JW9" i="10"/>
  <c r="JZ9" i="10"/>
  <c r="KA9" i="10"/>
  <c r="KD9" i="10"/>
  <c r="KE9" i="10"/>
  <c r="KH9" i="10"/>
  <c r="KI9" i="10"/>
  <c r="KL9" i="10"/>
  <c r="KM9" i="10"/>
  <c r="KP9" i="10"/>
  <c r="KQ9" i="10"/>
  <c r="KT9" i="10"/>
  <c r="KU9" i="10"/>
  <c r="KX9" i="10"/>
  <c r="KY9" i="10"/>
  <c r="LB9" i="10"/>
  <c r="LC9" i="10"/>
  <c r="LF9" i="10"/>
  <c r="LG9" i="10"/>
  <c r="LJ9" i="10"/>
  <c r="LK9" i="10"/>
  <c r="LN9" i="10"/>
  <c r="LO9" i="10"/>
  <c r="LQ9" i="10"/>
  <c r="LR9" i="10"/>
  <c r="LS9" i="10"/>
  <c r="LW9" i="10"/>
  <c r="MA9" i="10"/>
  <c r="ME9" i="10"/>
  <c r="MI9" i="10"/>
  <c r="MQ9" i="10"/>
  <c r="MY9" i="10"/>
  <c r="NG9" i="10"/>
  <c r="NO9" i="10"/>
  <c r="D2" i="10"/>
  <c r="E2" i="10"/>
  <c r="F2" i="10"/>
  <c r="G2" i="10"/>
  <c r="H2" i="10"/>
  <c r="I2" i="10"/>
  <c r="J2" i="10"/>
  <c r="K2" i="10"/>
  <c r="L2" i="10"/>
  <c r="M2" i="10"/>
  <c r="N2" i="10"/>
  <c r="O2" i="10"/>
  <c r="P2" i="10"/>
  <c r="Q2" i="10"/>
  <c r="R2" i="10"/>
  <c r="S2" i="10"/>
  <c r="T2" i="10"/>
  <c r="U2" i="10"/>
  <c r="V2" i="10"/>
  <c r="W2" i="10"/>
  <c r="X2" i="10"/>
  <c r="Y2" i="10"/>
  <c r="Z2" i="10"/>
  <c r="AA2" i="10"/>
  <c r="AB2" i="10"/>
  <c r="AC2" i="10"/>
  <c r="AD2" i="10"/>
  <c r="AE2" i="10"/>
  <c r="AF2" i="10"/>
  <c r="AG2" i="10"/>
  <c r="AH2" i="10"/>
  <c r="AI2" i="10"/>
  <c r="AJ2" i="10"/>
  <c r="AK2" i="10"/>
  <c r="AL2" i="10"/>
  <c r="AM2" i="10"/>
  <c r="AN2" i="10"/>
  <c r="AO2" i="10"/>
  <c r="AP2" i="10"/>
  <c r="AQ2" i="10"/>
  <c r="AR2" i="10"/>
  <c r="AS2" i="10"/>
  <c r="AT2" i="10"/>
  <c r="AU2" i="10"/>
  <c r="AV2" i="10"/>
  <c r="AW2" i="10"/>
  <c r="AX2" i="10"/>
  <c r="AY2" i="10"/>
  <c r="AZ2" i="10"/>
  <c r="BA2" i="10"/>
  <c r="BB2" i="10"/>
  <c r="BC2" i="10"/>
  <c r="BD2" i="10"/>
  <c r="BE2" i="10"/>
  <c r="BF2" i="10"/>
  <c r="BG2" i="10"/>
  <c r="BH2" i="10"/>
  <c r="BI2" i="10"/>
  <c r="BJ2" i="10"/>
  <c r="BK2" i="10"/>
  <c r="BL2" i="10"/>
  <c r="BM2" i="10"/>
  <c r="BN2" i="10"/>
  <c r="BO2" i="10"/>
  <c r="BP2" i="10"/>
  <c r="BQ2" i="10"/>
  <c r="BR2" i="10"/>
  <c r="BS2" i="10"/>
  <c r="BT2" i="10"/>
  <c r="BU2" i="10"/>
  <c r="BV2" i="10"/>
  <c r="BW2" i="10"/>
  <c r="BX2" i="10"/>
  <c r="BY2" i="10"/>
  <c r="BZ2" i="10"/>
  <c r="CA2" i="10"/>
  <c r="CB2" i="10"/>
  <c r="CC2" i="10"/>
  <c r="CD2" i="10"/>
  <c r="CE2" i="10"/>
  <c r="CF2" i="10"/>
  <c r="CG2" i="10"/>
  <c r="CH2" i="10"/>
  <c r="CI2" i="10"/>
  <c r="CJ2" i="10"/>
  <c r="CK2" i="10"/>
  <c r="CL2" i="10"/>
  <c r="CM2" i="10"/>
  <c r="CN2" i="10"/>
  <c r="CO2" i="10"/>
  <c r="CP2" i="10"/>
  <c r="CQ2" i="10"/>
  <c r="CR2" i="10"/>
  <c r="CS2" i="10"/>
  <c r="CT2" i="10"/>
  <c r="CU2" i="10"/>
  <c r="CV2" i="10"/>
  <c r="CW2" i="10"/>
  <c r="CX2" i="10"/>
  <c r="CY2" i="10"/>
  <c r="CZ2" i="10"/>
  <c r="DA2" i="10"/>
  <c r="DB2" i="10"/>
  <c r="DC2" i="10"/>
  <c r="DD2" i="10"/>
  <c r="DE2" i="10"/>
  <c r="DF2" i="10"/>
  <c r="DG2" i="10"/>
  <c r="DH2" i="10"/>
  <c r="DI2" i="10"/>
  <c r="DJ2" i="10"/>
  <c r="DK2" i="10"/>
  <c r="DL2" i="10"/>
  <c r="DM2" i="10"/>
  <c r="DN2" i="10"/>
  <c r="DO2" i="10"/>
  <c r="DP2" i="10"/>
  <c r="DQ2" i="10"/>
  <c r="DR2" i="10"/>
  <c r="DS2" i="10"/>
  <c r="DT2" i="10"/>
  <c r="DU2" i="10"/>
  <c r="DV2" i="10"/>
  <c r="DW2" i="10"/>
  <c r="DX2" i="10"/>
  <c r="DY2" i="10"/>
  <c r="DZ2" i="10"/>
  <c r="EA2" i="10"/>
  <c r="EB2" i="10"/>
  <c r="EC2" i="10"/>
  <c r="ED2" i="10"/>
  <c r="EE2" i="10"/>
  <c r="EF2" i="10"/>
  <c r="EG2" i="10"/>
  <c r="EH2" i="10"/>
  <c r="EI2" i="10"/>
  <c r="EJ2" i="10"/>
  <c r="EK2" i="10"/>
  <c r="EL2" i="10"/>
  <c r="EM2" i="10"/>
  <c r="EN2" i="10"/>
  <c r="EO2" i="10"/>
  <c r="D3" i="10"/>
  <c r="E3" i="10"/>
  <c r="F3" i="10"/>
  <c r="G3" i="10"/>
  <c r="H3" i="10"/>
  <c r="I3" i="10"/>
  <c r="J3" i="10"/>
  <c r="K3" i="10"/>
  <c r="L3" i="10"/>
  <c r="M3" i="10"/>
  <c r="N3" i="10"/>
  <c r="O3" i="10"/>
  <c r="P3" i="10"/>
  <c r="Q3" i="10"/>
  <c r="R3" i="10"/>
  <c r="S3" i="10"/>
  <c r="T3" i="10"/>
  <c r="U3" i="10"/>
  <c r="V3" i="10"/>
  <c r="W3" i="10"/>
  <c r="X3" i="10"/>
  <c r="Y3" i="10"/>
  <c r="Z3" i="10"/>
  <c r="AA3" i="10"/>
  <c r="AB3" i="10"/>
  <c r="AC3" i="10"/>
  <c r="AD3" i="10"/>
  <c r="AE3" i="10"/>
  <c r="AF3" i="10"/>
  <c r="AG3" i="10"/>
  <c r="AH3" i="10"/>
  <c r="AI3" i="10"/>
  <c r="AJ3" i="10"/>
  <c r="AK3" i="10"/>
  <c r="AL3" i="10"/>
  <c r="AM3" i="10"/>
  <c r="AN3" i="10"/>
  <c r="AO3" i="10"/>
  <c r="AP3" i="10"/>
  <c r="AQ3" i="10"/>
  <c r="AR3" i="10"/>
  <c r="AS3" i="10"/>
  <c r="AT3" i="10"/>
  <c r="AU3" i="10"/>
  <c r="AV3" i="10"/>
  <c r="AW3" i="10"/>
  <c r="AX3" i="10"/>
  <c r="AY3" i="10"/>
  <c r="AZ3" i="10"/>
  <c r="BA3" i="10"/>
  <c r="BB3" i="10"/>
  <c r="BC3" i="10"/>
  <c r="BD3" i="10"/>
  <c r="BE3" i="10"/>
  <c r="BF3" i="10"/>
  <c r="BG3" i="10"/>
  <c r="BH3" i="10"/>
  <c r="BI3" i="10"/>
  <c r="BJ3" i="10"/>
  <c r="BK3" i="10"/>
  <c r="BL3" i="10"/>
  <c r="BM3" i="10"/>
  <c r="BN3" i="10"/>
  <c r="BO3" i="10"/>
  <c r="BP3" i="10"/>
  <c r="BQ3" i="10"/>
  <c r="BR3" i="10"/>
  <c r="BS3" i="10"/>
  <c r="BT3" i="10"/>
  <c r="BU3" i="10"/>
  <c r="BV3" i="10"/>
  <c r="BW3" i="10"/>
  <c r="BX3" i="10"/>
  <c r="BY3" i="10"/>
  <c r="BZ3" i="10"/>
  <c r="CA3" i="10"/>
  <c r="CB3" i="10"/>
  <c r="CC3" i="10"/>
  <c r="CD3" i="10"/>
  <c r="CE3" i="10"/>
  <c r="CF3" i="10"/>
  <c r="CG3" i="10"/>
  <c r="CH3" i="10"/>
  <c r="CI3" i="10"/>
  <c r="CJ3" i="10"/>
  <c r="CK3" i="10"/>
  <c r="CL3" i="10"/>
  <c r="CM3" i="10"/>
  <c r="CN3" i="10"/>
  <c r="CO3" i="10"/>
  <c r="CP3" i="10"/>
  <c r="CQ3" i="10"/>
  <c r="CR3" i="10"/>
  <c r="CS3" i="10"/>
  <c r="CT3" i="10"/>
  <c r="CU3" i="10"/>
  <c r="CV3" i="10"/>
  <c r="CW3" i="10"/>
  <c r="CX3" i="10"/>
  <c r="CY3" i="10"/>
  <c r="CZ3" i="10"/>
  <c r="DA3" i="10"/>
  <c r="DB3" i="10"/>
  <c r="DC3" i="10"/>
  <c r="DD3" i="10"/>
  <c r="DE3" i="10"/>
  <c r="DF3" i="10"/>
  <c r="DG3" i="10"/>
  <c r="DH3" i="10"/>
  <c r="DI3" i="10"/>
  <c r="DJ3" i="10"/>
  <c r="DK3" i="10"/>
  <c r="DL3" i="10"/>
  <c r="DM3" i="10"/>
  <c r="DN3" i="10"/>
  <c r="DO3" i="10"/>
  <c r="DP3" i="10"/>
  <c r="DQ3" i="10"/>
  <c r="DR3" i="10"/>
  <c r="DS3" i="10"/>
  <c r="DT3" i="10"/>
  <c r="DU3" i="10"/>
  <c r="DV3" i="10"/>
  <c r="DW3" i="10"/>
  <c r="DX3" i="10"/>
  <c r="DY3" i="10"/>
  <c r="DZ3" i="10"/>
  <c r="EA3" i="10"/>
  <c r="EB3" i="10"/>
  <c r="EC3" i="10"/>
  <c r="ED3" i="10"/>
  <c r="EE3" i="10"/>
  <c r="EF3" i="10"/>
  <c r="EG3" i="10"/>
  <c r="EH3" i="10"/>
  <c r="EI3" i="10"/>
  <c r="EJ3" i="10"/>
  <c r="EK3" i="10"/>
  <c r="EL3" i="10"/>
  <c r="EM3" i="10"/>
  <c r="EN3" i="10"/>
  <c r="EO3" i="10"/>
  <c r="D4" i="10"/>
  <c r="E4" i="10"/>
  <c r="F4" i="10"/>
  <c r="G4" i="10"/>
  <c r="H4" i="10"/>
  <c r="I4" i="10"/>
  <c r="J4" i="10"/>
  <c r="K4" i="10"/>
  <c r="L4" i="10"/>
  <c r="M4" i="10"/>
  <c r="N4" i="10"/>
  <c r="O4" i="10"/>
  <c r="P4" i="10"/>
  <c r="Q4" i="10"/>
  <c r="R4" i="10"/>
  <c r="S4" i="10"/>
  <c r="T4" i="10"/>
  <c r="U4" i="10"/>
  <c r="V4" i="10"/>
  <c r="W4" i="10"/>
  <c r="X4" i="10"/>
  <c r="Y4" i="10"/>
  <c r="Z4" i="10"/>
  <c r="AA4" i="10"/>
  <c r="AB4" i="10"/>
  <c r="AC4" i="10"/>
  <c r="AD4" i="10"/>
  <c r="AE4" i="10"/>
  <c r="AF4" i="10"/>
  <c r="AG4" i="10"/>
  <c r="AH4" i="10"/>
  <c r="AI4" i="10"/>
  <c r="AJ4" i="10"/>
  <c r="AK4" i="10"/>
  <c r="AL4" i="10"/>
  <c r="AM4" i="10"/>
  <c r="AN4" i="10"/>
  <c r="AO4" i="10"/>
  <c r="AP4" i="10"/>
  <c r="AQ4" i="10"/>
  <c r="AR4" i="10"/>
  <c r="AS4" i="10"/>
  <c r="AT4" i="10"/>
  <c r="AU4" i="10"/>
  <c r="AV4" i="10"/>
  <c r="AW4" i="10"/>
  <c r="AX4" i="10"/>
  <c r="AY4" i="10"/>
  <c r="AZ4" i="10"/>
  <c r="BA4" i="10"/>
  <c r="BB4" i="10"/>
  <c r="BC4" i="10"/>
  <c r="BD4" i="10"/>
  <c r="BE4" i="10"/>
  <c r="BF4" i="10"/>
  <c r="BG4" i="10"/>
  <c r="BH4" i="10"/>
  <c r="BI4" i="10"/>
  <c r="BJ4" i="10"/>
  <c r="BK4" i="10"/>
  <c r="BL4" i="10"/>
  <c r="BM4" i="10"/>
  <c r="BN4" i="10"/>
  <c r="BO4" i="10"/>
  <c r="BP4" i="10"/>
  <c r="BQ4" i="10"/>
  <c r="BR4" i="10"/>
  <c r="BS4" i="10"/>
  <c r="BT4" i="10"/>
  <c r="BU4" i="10"/>
  <c r="BV4" i="10"/>
  <c r="BW4" i="10"/>
  <c r="BX4" i="10"/>
  <c r="BY4" i="10"/>
  <c r="BZ4" i="10"/>
  <c r="CA4" i="10"/>
  <c r="CB4" i="10"/>
  <c r="CC4" i="10"/>
  <c r="CD4" i="10"/>
  <c r="CE4" i="10"/>
  <c r="CF4" i="10"/>
  <c r="CG4" i="10"/>
  <c r="CH4" i="10"/>
  <c r="CI4" i="10"/>
  <c r="CJ4" i="10"/>
  <c r="CK4" i="10"/>
  <c r="CL4" i="10"/>
  <c r="CM4" i="10"/>
  <c r="CN4" i="10"/>
  <c r="CO4" i="10"/>
  <c r="CP4" i="10"/>
  <c r="CQ4" i="10"/>
  <c r="CR4" i="10"/>
  <c r="CS4" i="10"/>
  <c r="CT4" i="10"/>
  <c r="CU4" i="10"/>
  <c r="CV4" i="10"/>
  <c r="CW4" i="10"/>
  <c r="CX4" i="10"/>
  <c r="CY4" i="10"/>
  <c r="CZ4" i="10"/>
  <c r="DA4" i="10"/>
  <c r="DB4" i="10"/>
  <c r="DC4" i="10"/>
  <c r="DD4" i="10"/>
  <c r="DE4" i="10"/>
  <c r="DF4" i="10"/>
  <c r="DG4" i="10"/>
  <c r="DH4" i="10"/>
  <c r="DI4" i="10"/>
  <c r="DJ4" i="10"/>
  <c r="DK4" i="10"/>
  <c r="DL4" i="10"/>
  <c r="DM4" i="10"/>
  <c r="DN4" i="10"/>
  <c r="DO4" i="10"/>
  <c r="DP4" i="10"/>
  <c r="DQ4" i="10"/>
  <c r="DR4" i="10"/>
  <c r="DS4" i="10"/>
  <c r="DT4" i="10"/>
  <c r="DU4" i="10"/>
  <c r="DV4" i="10"/>
  <c r="DW4" i="10"/>
  <c r="DX4" i="10"/>
  <c r="DY4" i="10"/>
  <c r="DZ4" i="10"/>
  <c r="EA4" i="10"/>
  <c r="EB4" i="10"/>
  <c r="EC4" i="10"/>
  <c r="ED4" i="10"/>
  <c r="EE4" i="10"/>
  <c r="EF4" i="10"/>
  <c r="EG4" i="10"/>
  <c r="EH4" i="10"/>
  <c r="EI4" i="10"/>
  <c r="EJ4" i="10"/>
  <c r="EK4" i="10"/>
  <c r="EL4" i="10"/>
  <c r="EM4" i="10"/>
  <c r="EN4" i="10"/>
  <c r="EO4" i="10"/>
  <c r="D5" i="10"/>
  <c r="E5" i="10"/>
  <c r="F5" i="10"/>
  <c r="G5" i="10"/>
  <c r="H5" i="10"/>
  <c r="I5" i="10"/>
  <c r="J5" i="10"/>
  <c r="K5" i="10"/>
  <c r="L5" i="10"/>
  <c r="M5" i="10"/>
  <c r="N5" i="10"/>
  <c r="O5" i="10"/>
  <c r="P5" i="10"/>
  <c r="Q5" i="10"/>
  <c r="R5" i="10"/>
  <c r="S5" i="10"/>
  <c r="T5" i="10"/>
  <c r="U5" i="10"/>
  <c r="V5" i="10"/>
  <c r="W5" i="10"/>
  <c r="X5" i="10"/>
  <c r="Y5" i="10"/>
  <c r="Z5" i="10"/>
  <c r="AA5" i="10"/>
  <c r="AB5" i="10"/>
  <c r="AC5" i="10"/>
  <c r="AD5" i="10"/>
  <c r="AE5" i="10"/>
  <c r="AF5" i="10"/>
  <c r="AG5" i="10"/>
  <c r="AH5" i="10"/>
  <c r="AI5" i="10"/>
  <c r="AJ5" i="10"/>
  <c r="AK5" i="10"/>
  <c r="AL5" i="10"/>
  <c r="AM5" i="10"/>
  <c r="AN5" i="10"/>
  <c r="AO5" i="10"/>
  <c r="AP5" i="10"/>
  <c r="AQ5" i="10"/>
  <c r="AR5" i="10"/>
  <c r="AS5" i="10"/>
  <c r="AT5" i="10"/>
  <c r="AU5" i="10"/>
  <c r="AV5" i="10"/>
  <c r="AW5" i="10"/>
  <c r="AX5" i="10"/>
  <c r="AY5" i="10"/>
  <c r="AZ5" i="10"/>
  <c r="BA5" i="10"/>
  <c r="BB5" i="10"/>
  <c r="BC5" i="10"/>
  <c r="BD5" i="10"/>
  <c r="BE5" i="10"/>
  <c r="BF5" i="10"/>
  <c r="BG5" i="10"/>
  <c r="BH5" i="10"/>
  <c r="BI5" i="10"/>
  <c r="BJ5" i="10"/>
  <c r="BK5" i="10"/>
  <c r="BL5" i="10"/>
  <c r="BM5" i="10"/>
  <c r="BN5" i="10"/>
  <c r="BO5" i="10"/>
  <c r="BP5" i="10"/>
  <c r="BQ5" i="10"/>
  <c r="BR5" i="10"/>
  <c r="BS5" i="10"/>
  <c r="BT5" i="10"/>
  <c r="BU5" i="10"/>
  <c r="BV5" i="10"/>
  <c r="BW5" i="10"/>
  <c r="BX5" i="10"/>
  <c r="BY5" i="10"/>
  <c r="BZ5" i="10"/>
  <c r="CA5" i="10"/>
  <c r="CB5" i="10"/>
  <c r="CC5" i="10"/>
  <c r="CD5" i="10"/>
  <c r="CE5" i="10"/>
  <c r="CF5" i="10"/>
  <c r="CG5" i="10"/>
  <c r="CH5" i="10"/>
  <c r="CI5" i="10"/>
  <c r="CJ5" i="10"/>
  <c r="CK5" i="10"/>
  <c r="CL5" i="10"/>
  <c r="CM5" i="10"/>
  <c r="CN5" i="10"/>
  <c r="CO5" i="10"/>
  <c r="CP5" i="10"/>
  <c r="CQ5" i="10"/>
  <c r="CR5" i="10"/>
  <c r="CS5" i="10"/>
  <c r="CT5" i="10"/>
  <c r="CU5" i="10"/>
  <c r="CV5" i="10"/>
  <c r="CW5" i="10"/>
  <c r="CX5" i="10"/>
  <c r="CY5" i="10"/>
  <c r="CZ5" i="10"/>
  <c r="DA5" i="10"/>
  <c r="DB5" i="10"/>
  <c r="DC5" i="10"/>
  <c r="DD5" i="10"/>
  <c r="DE5" i="10"/>
  <c r="DF5" i="10"/>
  <c r="DG5" i="10"/>
  <c r="DH5" i="10"/>
  <c r="DI5" i="10"/>
  <c r="DJ5" i="10"/>
  <c r="DK5" i="10"/>
  <c r="DL5" i="10"/>
  <c r="DM5" i="10"/>
  <c r="DN5" i="10"/>
  <c r="DO5" i="10"/>
  <c r="DP5" i="10"/>
  <c r="DQ5" i="10"/>
  <c r="DR5" i="10"/>
  <c r="DS5" i="10"/>
  <c r="DT5" i="10"/>
  <c r="DU5" i="10"/>
  <c r="DV5" i="10"/>
  <c r="DW5" i="10"/>
  <c r="DX5" i="10"/>
  <c r="DY5" i="10"/>
  <c r="DZ5" i="10"/>
  <c r="EA5" i="10"/>
  <c r="EB5" i="10"/>
  <c r="EC5" i="10"/>
  <c r="ED5" i="10"/>
  <c r="EE5" i="10"/>
  <c r="EF5" i="10"/>
  <c r="EG5" i="10"/>
  <c r="EH5" i="10"/>
  <c r="EI5" i="10"/>
  <c r="EJ5" i="10"/>
  <c r="EK5" i="10"/>
  <c r="EL5" i="10"/>
  <c r="EM5" i="10"/>
  <c r="EN5" i="10"/>
  <c r="EO5" i="10"/>
  <c r="D6" i="10"/>
  <c r="E6" i="10"/>
  <c r="F6" i="10"/>
  <c r="G6" i="10"/>
  <c r="H6" i="10"/>
  <c r="I6" i="10"/>
  <c r="J6" i="10"/>
  <c r="K6" i="10"/>
  <c r="L6" i="10"/>
  <c r="M6" i="10"/>
  <c r="N6" i="10"/>
  <c r="O6" i="10"/>
  <c r="P6" i="10"/>
  <c r="Q6" i="10"/>
  <c r="R6" i="10"/>
  <c r="S6" i="10"/>
  <c r="T6" i="10"/>
  <c r="U6" i="10"/>
  <c r="V6" i="10"/>
  <c r="W6" i="10"/>
  <c r="X6" i="10"/>
  <c r="Y6" i="10"/>
  <c r="Z6" i="10"/>
  <c r="AA6" i="10"/>
  <c r="AB6" i="10"/>
  <c r="AC6" i="10"/>
  <c r="AD6" i="10"/>
  <c r="AE6" i="10"/>
  <c r="AF6" i="10"/>
  <c r="AG6" i="10"/>
  <c r="AH6" i="10"/>
  <c r="AI6" i="10"/>
  <c r="AJ6" i="10"/>
  <c r="AK6" i="10"/>
  <c r="AL6" i="10"/>
  <c r="AM6" i="10"/>
  <c r="AN6" i="10"/>
  <c r="AO6" i="10"/>
  <c r="AP6" i="10"/>
  <c r="AQ6" i="10"/>
  <c r="AR6" i="10"/>
  <c r="AS6" i="10"/>
  <c r="AT6" i="10"/>
  <c r="AU6" i="10"/>
  <c r="AV6" i="10"/>
  <c r="AW6" i="10"/>
  <c r="AX6" i="10"/>
  <c r="AY6" i="10"/>
  <c r="AY9" i="10" s="1"/>
  <c r="AZ6" i="10"/>
  <c r="BA6" i="10"/>
  <c r="BB6" i="10"/>
  <c r="BC6" i="10"/>
  <c r="BD6" i="10"/>
  <c r="BE6" i="10"/>
  <c r="BF6" i="10"/>
  <c r="BG6" i="10"/>
  <c r="BH6" i="10"/>
  <c r="BI6" i="10"/>
  <c r="BJ6" i="10"/>
  <c r="BK6" i="10"/>
  <c r="BL6" i="10"/>
  <c r="BM6" i="10"/>
  <c r="BM9" i="10" s="1"/>
  <c r="BN6" i="10"/>
  <c r="BO6" i="10"/>
  <c r="BP6" i="10"/>
  <c r="BQ6" i="10"/>
  <c r="BQ9" i="10" s="1"/>
  <c r="BR6" i="10"/>
  <c r="BS6" i="10"/>
  <c r="BT6" i="10"/>
  <c r="BU6" i="10"/>
  <c r="BV6" i="10"/>
  <c r="BW6" i="10"/>
  <c r="BW9" i="10" s="1"/>
  <c r="BX6" i="10"/>
  <c r="BY6" i="10"/>
  <c r="BZ6" i="10"/>
  <c r="CA6" i="10"/>
  <c r="CB6" i="10"/>
  <c r="CC6" i="10"/>
  <c r="CD6" i="10"/>
  <c r="CE6" i="10"/>
  <c r="CF6" i="10"/>
  <c r="CG6" i="10"/>
  <c r="CH6" i="10"/>
  <c r="CI6" i="10"/>
  <c r="CJ6" i="10"/>
  <c r="CK6" i="10"/>
  <c r="CL6" i="10"/>
  <c r="CM6" i="10"/>
  <c r="CN6" i="10"/>
  <c r="CO6" i="10"/>
  <c r="CP6" i="10"/>
  <c r="CQ6" i="10"/>
  <c r="CR6" i="10"/>
  <c r="CS6" i="10"/>
  <c r="CT6" i="10"/>
  <c r="CU6" i="10"/>
  <c r="CV6" i="10"/>
  <c r="CW6" i="10"/>
  <c r="CW9" i="10" s="1"/>
  <c r="CX6" i="10"/>
  <c r="CY6" i="10"/>
  <c r="CZ6" i="10"/>
  <c r="DA6" i="10"/>
  <c r="DA9" i="10" s="1"/>
  <c r="DB6" i="10"/>
  <c r="DC6" i="10"/>
  <c r="DD6" i="10"/>
  <c r="DE6" i="10"/>
  <c r="DF6" i="10"/>
  <c r="DG6" i="10"/>
  <c r="DH6" i="10"/>
  <c r="DI6" i="10"/>
  <c r="DJ6" i="10"/>
  <c r="DK6" i="10"/>
  <c r="DL6" i="10"/>
  <c r="DM6" i="10"/>
  <c r="DM9" i="10" s="1"/>
  <c r="DN6" i="10"/>
  <c r="DO6" i="10"/>
  <c r="DP6" i="10"/>
  <c r="DQ6" i="10"/>
  <c r="DR6" i="10"/>
  <c r="DS6" i="10"/>
  <c r="DT6" i="10"/>
  <c r="DU6" i="10"/>
  <c r="DV6" i="10"/>
  <c r="DW6" i="10"/>
  <c r="DX6" i="10"/>
  <c r="DY6" i="10"/>
  <c r="DZ6" i="10"/>
  <c r="EA6" i="10"/>
  <c r="EB6" i="10"/>
  <c r="EC6" i="10"/>
  <c r="ED6" i="10"/>
  <c r="EE6" i="10"/>
  <c r="EF6" i="10"/>
  <c r="EG6" i="10"/>
  <c r="EG9" i="10" s="1"/>
  <c r="EH6" i="10"/>
  <c r="EI6" i="10"/>
  <c r="EJ6" i="10"/>
  <c r="EK6" i="10"/>
  <c r="EL6" i="10"/>
  <c r="EM6" i="10"/>
  <c r="EN6" i="10"/>
  <c r="EO6" i="10"/>
  <c r="D7" i="10"/>
  <c r="E7" i="10"/>
  <c r="F7" i="10"/>
  <c r="G7" i="10"/>
  <c r="H7" i="10"/>
  <c r="I7" i="10"/>
  <c r="J7" i="10"/>
  <c r="K7" i="10"/>
  <c r="L7" i="10"/>
  <c r="M7" i="10"/>
  <c r="N7" i="10"/>
  <c r="O7" i="10"/>
  <c r="P7" i="10"/>
  <c r="Q7" i="10"/>
  <c r="Q9" i="10" s="1"/>
  <c r="R7" i="10"/>
  <c r="S7" i="10"/>
  <c r="T7" i="10"/>
  <c r="U7" i="10"/>
  <c r="V7" i="10"/>
  <c r="W7" i="10"/>
  <c r="X7" i="10"/>
  <c r="Y7" i="10"/>
  <c r="Y9" i="10" s="1"/>
  <c r="Z7" i="10"/>
  <c r="AA7" i="10"/>
  <c r="AB7" i="10"/>
  <c r="AC7" i="10"/>
  <c r="AD7" i="10"/>
  <c r="AE7" i="10"/>
  <c r="AF7" i="10"/>
  <c r="AG7" i="10"/>
  <c r="AH7" i="10"/>
  <c r="AI7" i="10"/>
  <c r="AJ7" i="10"/>
  <c r="AK7" i="10"/>
  <c r="AL7" i="10"/>
  <c r="AM7" i="10"/>
  <c r="AN7" i="10"/>
  <c r="AO7" i="10"/>
  <c r="AP7" i="10"/>
  <c r="AQ7" i="10"/>
  <c r="AR7" i="10"/>
  <c r="AS7" i="10"/>
  <c r="AT7" i="10"/>
  <c r="AU7" i="10"/>
  <c r="AV7" i="10"/>
  <c r="AW7" i="10"/>
  <c r="AW9" i="10" s="1"/>
  <c r="AX7" i="10"/>
  <c r="AY7" i="10"/>
  <c r="AZ7" i="10"/>
  <c r="BA7" i="10"/>
  <c r="BB7" i="10"/>
  <c r="BC7" i="10"/>
  <c r="BD7" i="10"/>
  <c r="BE7" i="10"/>
  <c r="BE9" i="10" s="1"/>
  <c r="BF7" i="10"/>
  <c r="BF9" i="10" s="1"/>
  <c r="BG7" i="10"/>
  <c r="BH7" i="10"/>
  <c r="BI7" i="10"/>
  <c r="BI9" i="10" s="1"/>
  <c r="BJ7" i="10"/>
  <c r="BJ9" i="10" s="1"/>
  <c r="BK7" i="10"/>
  <c r="BL7" i="10"/>
  <c r="BM7" i="10"/>
  <c r="BN7" i="10"/>
  <c r="BN9" i="10" s="1"/>
  <c r="BO7" i="10"/>
  <c r="BP7" i="10"/>
  <c r="BQ7" i="10"/>
  <c r="BR7" i="10"/>
  <c r="BS7" i="10"/>
  <c r="BT7" i="10"/>
  <c r="BU7" i="10"/>
  <c r="BV7" i="10"/>
  <c r="BW7" i="10"/>
  <c r="BX7" i="10"/>
  <c r="BY7" i="10"/>
  <c r="BY9" i="10" s="1"/>
  <c r="BZ7" i="10"/>
  <c r="BZ9" i="10" s="1"/>
  <c r="CA7" i="10"/>
  <c r="CB7" i="10"/>
  <c r="CC7" i="10"/>
  <c r="CC9" i="10" s="1"/>
  <c r="CD7" i="10"/>
  <c r="CD9" i="10" s="1"/>
  <c r="CE7" i="10"/>
  <c r="CF7" i="10"/>
  <c r="CG7" i="10"/>
  <c r="CH7" i="10"/>
  <c r="CH9" i="10" s="1"/>
  <c r="CI7" i="10"/>
  <c r="CJ7" i="10"/>
  <c r="CK7" i="10"/>
  <c r="CL7" i="10"/>
  <c r="CM7" i="10"/>
  <c r="CN7" i="10"/>
  <c r="CO7" i="10"/>
  <c r="CO9" i="10" s="1"/>
  <c r="CP7" i="10"/>
  <c r="CP9" i="10" s="1"/>
  <c r="CQ7" i="10"/>
  <c r="CR7" i="10"/>
  <c r="CS7" i="10"/>
  <c r="CS9" i="10" s="1"/>
  <c r="CT7" i="10"/>
  <c r="CT9" i="10" s="1"/>
  <c r="CU7" i="10"/>
  <c r="CV7" i="10"/>
  <c r="CW7" i="10"/>
  <c r="CX7" i="10"/>
  <c r="CX9" i="10" s="1"/>
  <c r="CY7" i="10"/>
  <c r="CZ7" i="10"/>
  <c r="DA7" i="10"/>
  <c r="DB7" i="10"/>
  <c r="DC7" i="10"/>
  <c r="DD7" i="10"/>
  <c r="DE7" i="10"/>
  <c r="DE9" i="10" s="1"/>
  <c r="DF7" i="10"/>
  <c r="DF9" i="10" s="1"/>
  <c r="DG7" i="10"/>
  <c r="DH7" i="10"/>
  <c r="DI7" i="10"/>
  <c r="DI9" i="10" s="1"/>
  <c r="DJ7" i="10"/>
  <c r="DJ9" i="10" s="1"/>
  <c r="DK7" i="10"/>
  <c r="DL7" i="10"/>
  <c r="DM7" i="10"/>
  <c r="DN7" i="10"/>
  <c r="DN9" i="10" s="1"/>
  <c r="DO7" i="10"/>
  <c r="DP7" i="10"/>
  <c r="DQ7" i="10"/>
  <c r="DR7" i="10"/>
  <c r="DS7" i="10"/>
  <c r="DT7" i="10"/>
  <c r="DU7" i="10"/>
  <c r="DU9" i="10" s="1"/>
  <c r="DV7" i="10"/>
  <c r="DV9" i="10" s="1"/>
  <c r="DW7" i="10"/>
  <c r="DX7" i="10"/>
  <c r="DY7" i="10"/>
  <c r="DY9" i="10" s="1"/>
  <c r="DZ7" i="10"/>
  <c r="DZ9" i="10" s="1"/>
  <c r="EA7" i="10"/>
  <c r="EB7" i="10"/>
  <c r="EC7" i="10"/>
  <c r="ED7" i="10"/>
  <c r="ED9" i="10" s="1"/>
  <c r="EE7" i="10"/>
  <c r="EF7" i="10"/>
  <c r="EG7" i="10"/>
  <c r="EH7" i="10"/>
  <c r="EI7" i="10"/>
  <c r="EJ7" i="10"/>
  <c r="EK7" i="10"/>
  <c r="EK9" i="10" s="1"/>
  <c r="EL7" i="10"/>
  <c r="EL9" i="10" s="1"/>
  <c r="EM7" i="10"/>
  <c r="EN7" i="10"/>
  <c r="EO7" i="10"/>
  <c r="EO9" i="10" s="1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Z8" i="10"/>
  <c r="AA8" i="10"/>
  <c r="AB8" i="10"/>
  <c r="AC8" i="10"/>
  <c r="AD8" i="10"/>
  <c r="AE8" i="10"/>
  <c r="AF8" i="10"/>
  <c r="AG8" i="10"/>
  <c r="AH8" i="10"/>
  <c r="AI8" i="10"/>
  <c r="AJ8" i="10"/>
  <c r="AK8" i="10"/>
  <c r="AL8" i="10"/>
  <c r="AM8" i="10"/>
  <c r="AN8" i="10"/>
  <c r="AO8" i="10"/>
  <c r="AP8" i="10"/>
  <c r="AQ8" i="10"/>
  <c r="AR8" i="10"/>
  <c r="AS8" i="10"/>
  <c r="AT8" i="10"/>
  <c r="AU8" i="10"/>
  <c r="AV8" i="10"/>
  <c r="AW8" i="10"/>
  <c r="AX8" i="10"/>
  <c r="AY8" i="10"/>
  <c r="AZ8" i="10"/>
  <c r="BA8" i="10"/>
  <c r="BB8" i="10"/>
  <c r="BC8" i="10"/>
  <c r="BD8" i="10"/>
  <c r="BE8" i="10"/>
  <c r="BF8" i="10"/>
  <c r="BG8" i="10"/>
  <c r="BH8" i="10"/>
  <c r="BI8" i="10"/>
  <c r="BJ8" i="10"/>
  <c r="BK8" i="10"/>
  <c r="BL8" i="10"/>
  <c r="BM8" i="10"/>
  <c r="BN8" i="10"/>
  <c r="BO8" i="10"/>
  <c r="BP8" i="10"/>
  <c r="BQ8" i="10"/>
  <c r="BR8" i="10"/>
  <c r="BS8" i="10"/>
  <c r="BT8" i="10"/>
  <c r="BU8" i="10"/>
  <c r="BV8" i="10"/>
  <c r="BW8" i="10"/>
  <c r="BX8" i="10"/>
  <c r="BY8" i="10"/>
  <c r="BZ8" i="10"/>
  <c r="CA8" i="10"/>
  <c r="CB8" i="10"/>
  <c r="CC8" i="10"/>
  <c r="CD8" i="10"/>
  <c r="CE8" i="10"/>
  <c r="CF8" i="10"/>
  <c r="CG8" i="10"/>
  <c r="CH8" i="10"/>
  <c r="CI8" i="10"/>
  <c r="CJ8" i="10"/>
  <c r="CK8" i="10"/>
  <c r="CL8" i="10"/>
  <c r="CM8" i="10"/>
  <c r="CN8" i="10"/>
  <c r="CO8" i="10"/>
  <c r="CP8" i="10"/>
  <c r="CQ8" i="10"/>
  <c r="CR8" i="10"/>
  <c r="CS8" i="10"/>
  <c r="CT8" i="10"/>
  <c r="CU8" i="10"/>
  <c r="CV8" i="10"/>
  <c r="CW8" i="10"/>
  <c r="CX8" i="10"/>
  <c r="CY8" i="10"/>
  <c r="CZ8" i="10"/>
  <c r="DA8" i="10"/>
  <c r="DB8" i="10"/>
  <c r="DC8" i="10"/>
  <c r="DD8" i="10"/>
  <c r="DE8" i="10"/>
  <c r="DF8" i="10"/>
  <c r="DG8" i="10"/>
  <c r="DH8" i="10"/>
  <c r="DI8" i="10"/>
  <c r="DJ8" i="10"/>
  <c r="DK8" i="10"/>
  <c r="DL8" i="10"/>
  <c r="DM8" i="10"/>
  <c r="DN8" i="10"/>
  <c r="DO8" i="10"/>
  <c r="DP8" i="10"/>
  <c r="DQ8" i="10"/>
  <c r="DR8" i="10"/>
  <c r="DS8" i="10"/>
  <c r="DT8" i="10"/>
  <c r="DU8" i="10"/>
  <c r="DV8" i="10"/>
  <c r="DW8" i="10"/>
  <c r="DX8" i="10"/>
  <c r="DY8" i="10"/>
  <c r="DZ8" i="10"/>
  <c r="EA8" i="10"/>
  <c r="EB8" i="10"/>
  <c r="EC8" i="10"/>
  <c r="ED8" i="10"/>
  <c r="EE8" i="10"/>
  <c r="EF8" i="10"/>
  <c r="EG8" i="10"/>
  <c r="EH8" i="10"/>
  <c r="EI8" i="10"/>
  <c r="EJ8" i="10"/>
  <c r="EK8" i="10"/>
  <c r="EL8" i="10"/>
  <c r="EM8" i="10"/>
  <c r="EN8" i="10"/>
  <c r="EO8" i="10"/>
  <c r="D9" i="10"/>
  <c r="E9" i="10"/>
  <c r="F9" i="10"/>
  <c r="G9" i="10"/>
  <c r="H9" i="10"/>
  <c r="I9" i="10"/>
  <c r="J9" i="10"/>
  <c r="K9" i="10"/>
  <c r="L9" i="10"/>
  <c r="M9" i="10"/>
  <c r="N9" i="10"/>
  <c r="P9" i="10"/>
  <c r="R9" i="10"/>
  <c r="T9" i="10"/>
  <c r="U9" i="10"/>
  <c r="V9" i="10"/>
  <c r="X9" i="10"/>
  <c r="Z9" i="10"/>
  <c r="AB9" i="10"/>
  <c r="AC9" i="10"/>
  <c r="AD9" i="10"/>
  <c r="AF9" i="10"/>
  <c r="AG9" i="10"/>
  <c r="AH9" i="10"/>
  <c r="AJ9" i="10"/>
  <c r="AK9" i="10"/>
  <c r="AL9" i="10"/>
  <c r="AN9" i="10"/>
  <c r="AO9" i="10"/>
  <c r="AP9" i="10"/>
  <c r="AR9" i="10"/>
  <c r="AS9" i="10"/>
  <c r="AT9" i="10"/>
  <c r="AV9" i="10"/>
  <c r="AX9" i="10"/>
  <c r="AZ9" i="10"/>
  <c r="BA9" i="10"/>
  <c r="BB9" i="10"/>
  <c r="BD9" i="10"/>
  <c r="BH9" i="10"/>
  <c r="BL9" i="10"/>
  <c r="BP9" i="10"/>
  <c r="BR9" i="10"/>
  <c r="BS9" i="10"/>
  <c r="BT9" i="10"/>
  <c r="BU9" i="10"/>
  <c r="BV9" i="10"/>
  <c r="BX9" i="10"/>
  <c r="CB9" i="10"/>
  <c r="CF9" i="10"/>
  <c r="CG9" i="10"/>
  <c r="CJ9" i="10"/>
  <c r="CK9" i="10"/>
  <c r="CL9" i="10"/>
  <c r="CN9" i="10"/>
  <c r="CR9" i="10"/>
  <c r="CV9" i="10"/>
  <c r="CZ9" i="10"/>
  <c r="DB9" i="10"/>
  <c r="DH9" i="10"/>
  <c r="DL9" i="10"/>
  <c r="DQ9" i="10"/>
  <c r="DR9" i="10"/>
  <c r="DX9" i="10"/>
  <c r="EB9" i="10"/>
  <c r="EC9" i="10"/>
  <c r="EH9" i="10"/>
  <c r="EN9" i="10"/>
  <c r="C8" i="10"/>
  <c r="C7" i="10"/>
  <c r="C6" i="10"/>
  <c r="C5" i="10"/>
  <c r="C4" i="10"/>
  <c r="C3" i="10"/>
  <c r="C2" i="10"/>
  <c r="EM9" i="10" l="1"/>
  <c r="EE9" i="10"/>
  <c r="EA9" i="10"/>
  <c r="DW9" i="10"/>
  <c r="DS9" i="10"/>
  <c r="DO9" i="10"/>
  <c r="DK9" i="10"/>
  <c r="DG9" i="10"/>
  <c r="DC9" i="10"/>
  <c r="CY9" i="10"/>
  <c r="CU9" i="10"/>
  <c r="CQ9" i="10"/>
  <c r="CM9" i="10"/>
  <c r="CI9" i="10"/>
  <c r="CE9" i="10"/>
  <c r="CA9" i="10"/>
  <c r="BO9" i="10"/>
  <c r="BK9" i="10"/>
  <c r="BG9" i="10"/>
  <c r="BC9" i="10"/>
  <c r="AU9" i="10"/>
  <c r="AQ9" i="10"/>
  <c r="AM9" i="10"/>
  <c r="AI9" i="10"/>
  <c r="AE9" i="10"/>
  <c r="AA9" i="10"/>
  <c r="W9" i="10"/>
  <c r="S9" i="10"/>
  <c r="O9" i="10"/>
  <c r="EI9" i="10"/>
  <c r="EJ9" i="10"/>
  <c r="EF9" i="10"/>
  <c r="DT9" i="10"/>
  <c r="DP9" i="10"/>
  <c r="DD9" i="10"/>
  <c r="C26" i="12"/>
  <c r="C9" i="10"/>
  <c r="C30" i="12"/>
  <c r="D20" i="12"/>
  <c r="C24" i="12"/>
  <c r="D24" i="12"/>
  <c r="D26" i="12"/>
  <c r="C29" i="12"/>
  <c r="C33" i="12"/>
  <c r="C32" i="12" s="1"/>
  <c r="C21" i="12"/>
  <c r="D19" i="12"/>
  <c r="C19" i="12"/>
  <c r="D21" i="12"/>
  <c r="C22" i="12"/>
  <c r="C20" i="12"/>
  <c r="D25" i="12"/>
  <c r="C25" i="12"/>
  <c r="C23" i="12" s="1"/>
  <c r="D29" i="12"/>
  <c r="D28" i="12" s="1"/>
  <c r="C28" i="12" l="1"/>
  <c r="D23" i="12"/>
  <c r="C18" i="12"/>
  <c r="D18" i="12"/>
  <c r="A271" i="1" l="1"/>
  <c r="A115" i="1"/>
  <c r="A116" i="1"/>
  <c r="A117" i="1"/>
  <c r="A118" i="1"/>
  <c r="A119" i="1"/>
  <c r="A120" i="1"/>
  <c r="A121" i="1"/>
  <c r="A122" i="1"/>
  <c r="A123" i="1"/>
  <c r="A10" i="1"/>
  <c r="A11" i="1"/>
  <c r="A124" i="1"/>
  <c r="A12" i="1"/>
  <c r="A13" i="1"/>
  <c r="A14" i="1"/>
  <c r="A125" i="1"/>
  <c r="A272" i="1"/>
  <c r="A126" i="1"/>
  <c r="A249" i="1"/>
  <c r="A127" i="1"/>
  <c r="A128" i="1"/>
  <c r="A273" i="1"/>
  <c r="A129" i="1"/>
  <c r="A130" i="1"/>
  <c r="A15" i="1"/>
  <c r="A16" i="1"/>
  <c r="A131" i="1"/>
  <c r="A92" i="1"/>
  <c r="A17" i="1"/>
  <c r="A132" i="1"/>
  <c r="A18" i="1"/>
  <c r="A274" i="1"/>
  <c r="A133" i="1"/>
  <c r="A134" i="1"/>
  <c r="A135" i="1"/>
  <c r="A136" i="1"/>
  <c r="A137" i="1"/>
  <c r="A275" i="1"/>
  <c r="A98" i="1"/>
  <c r="A99" i="1"/>
  <c r="A276" i="1"/>
  <c r="A100" i="1"/>
  <c r="A19" i="1"/>
  <c r="A138" i="1"/>
  <c r="A20" i="1"/>
  <c r="A139" i="1"/>
  <c r="A140" i="1"/>
  <c r="A277" i="1"/>
  <c r="A101" i="1"/>
  <c r="A102" i="1"/>
  <c r="A21" i="1"/>
  <c r="A22" i="1"/>
  <c r="A23" i="1"/>
  <c r="A24" i="1"/>
  <c r="A25" i="1"/>
  <c r="A26" i="1"/>
  <c r="A141" i="1"/>
  <c r="A142" i="1"/>
  <c r="A278" i="1"/>
  <c r="A143" i="1"/>
  <c r="A27" i="1"/>
  <c r="A250" i="1"/>
  <c r="A251" i="1"/>
  <c r="A279" i="1"/>
  <c r="A103" i="1"/>
  <c r="A280" i="1"/>
  <c r="A28" i="1"/>
  <c r="A29" i="1"/>
  <c r="A144" i="1"/>
  <c r="A252" i="1"/>
  <c r="A145" i="1"/>
  <c r="A281" i="1"/>
  <c r="A282" i="1"/>
  <c r="A146" i="1"/>
  <c r="A283" i="1"/>
  <c r="A30" i="1"/>
  <c r="A31" i="1"/>
  <c r="A147" i="1"/>
  <c r="A148" i="1"/>
  <c r="A149" i="1"/>
  <c r="A32" i="1"/>
  <c r="A33" i="1"/>
  <c r="A253" i="1"/>
  <c r="A34" i="1"/>
  <c r="A35" i="1"/>
  <c r="A36" i="1"/>
  <c r="A37" i="1"/>
  <c r="A38" i="1"/>
  <c r="A93" i="1"/>
  <c r="A104" i="1"/>
  <c r="A39" i="1"/>
  <c r="A150" i="1"/>
  <c r="A284" i="1"/>
  <c r="A151" i="1"/>
  <c r="A152" i="1"/>
  <c r="A285" i="1"/>
  <c r="A254" i="1"/>
  <c r="A153" i="1"/>
  <c r="A154" i="1"/>
  <c r="A286" i="1"/>
  <c r="A40" i="1"/>
  <c r="A287" i="1"/>
  <c r="A288" i="1"/>
  <c r="A155" i="1"/>
  <c r="A156" i="1"/>
  <c r="A157" i="1"/>
  <c r="A158" i="1"/>
  <c r="A159" i="1"/>
  <c r="A160" i="1"/>
  <c r="A161" i="1"/>
  <c r="A162" i="1"/>
  <c r="A163" i="1"/>
  <c r="A41" i="1"/>
  <c r="A105" i="1"/>
  <c r="A164" i="1"/>
  <c r="A165" i="1"/>
  <c r="A166" i="1"/>
  <c r="A6" i="1"/>
  <c r="A42" i="1"/>
  <c r="A43" i="1"/>
  <c r="A44" i="1"/>
  <c r="A167" i="1"/>
  <c r="A45" i="1"/>
  <c r="A289" i="1"/>
  <c r="A168" i="1"/>
  <c r="A169" i="1"/>
  <c r="A170" i="1"/>
  <c r="A290" i="1"/>
  <c r="A171" i="1"/>
  <c r="A255" i="1"/>
  <c r="A172" i="1"/>
  <c r="A3" i="1"/>
  <c r="A46" i="1"/>
  <c r="A47" i="1"/>
  <c r="A291" i="1"/>
  <c r="A292" i="1"/>
  <c r="A173" i="1"/>
  <c r="A174" i="1"/>
  <c r="A175" i="1"/>
  <c r="A176" i="1"/>
  <c r="A48" i="1"/>
  <c r="A49" i="1"/>
  <c r="A293" i="1"/>
  <c r="A294" i="1"/>
  <c r="A256" i="1"/>
  <c r="A177" i="1"/>
  <c r="A178" i="1"/>
  <c r="A179" i="1"/>
  <c r="A180" i="1"/>
  <c r="A181" i="1"/>
  <c r="A182" i="1"/>
  <c r="A295" i="1"/>
  <c r="A50" i="1"/>
  <c r="A183" i="1"/>
  <c r="A51" i="1"/>
  <c r="A52" i="1"/>
  <c r="A184" i="1"/>
  <c r="A296" i="1"/>
  <c r="A185" i="1"/>
  <c r="A297" i="1"/>
  <c r="A53" i="1"/>
  <c r="A54" i="1"/>
  <c r="A55" i="1"/>
  <c r="A94" i="1"/>
  <c r="A7" i="1"/>
  <c r="A56" i="1"/>
  <c r="A57" i="1"/>
  <c r="A186" i="1"/>
  <c r="A298" i="1"/>
  <c r="A257" i="1"/>
  <c r="A258" i="1"/>
  <c r="A187" i="1"/>
  <c r="A58" i="1"/>
  <c r="A259" i="1"/>
  <c r="A299" i="1"/>
  <c r="A300" i="1"/>
  <c r="A188" i="1"/>
  <c r="A301" i="1"/>
  <c r="A59" i="1"/>
  <c r="A189" i="1"/>
  <c r="A302" i="1"/>
  <c r="A60" i="1"/>
  <c r="A190" i="1"/>
  <c r="A303" i="1"/>
  <c r="A260" i="1"/>
  <c r="A191" i="1"/>
  <c r="A192" i="1"/>
  <c r="A193" i="1"/>
  <c r="A194" i="1"/>
  <c r="A195" i="1"/>
  <c r="A304" i="1"/>
  <c r="A305" i="1"/>
  <c r="A261" i="1"/>
  <c r="A196" i="1"/>
  <c r="A197" i="1"/>
  <c r="A262" i="1"/>
  <c r="A306" i="1"/>
  <c r="A307" i="1"/>
  <c r="A308" i="1"/>
  <c r="A309" i="1"/>
  <c r="A310" i="1"/>
  <c r="A198" i="1"/>
  <c r="A199" i="1"/>
  <c r="A200" i="1"/>
  <c r="A61" i="1"/>
  <c r="A311" i="1"/>
  <c r="A312" i="1"/>
  <c r="A106" i="1"/>
  <c r="A4" i="1"/>
  <c r="A62" i="1"/>
  <c r="A201" i="1"/>
  <c r="A95" i="1"/>
  <c r="A202" i="1"/>
  <c r="A313" i="1"/>
  <c r="A314" i="1"/>
  <c r="A315" i="1"/>
  <c r="A316" i="1"/>
  <c r="A263" i="1"/>
  <c r="A264" i="1"/>
  <c r="A203" i="1"/>
  <c r="A204" i="1"/>
  <c r="A317" i="1"/>
  <c r="A205" i="1"/>
  <c r="A206" i="1"/>
  <c r="A207" i="1"/>
  <c r="A63" i="1"/>
  <c r="A208" i="1"/>
  <c r="A107" i="1"/>
  <c r="A318" i="1"/>
  <c r="A108" i="1"/>
  <c r="A209" i="1"/>
  <c r="A319" i="1"/>
  <c r="A210" i="1"/>
  <c r="A64" i="1"/>
  <c r="A65" i="1"/>
  <c r="A320" i="1"/>
  <c r="A265" i="1"/>
  <c r="A211" i="1"/>
  <c r="A321" i="1"/>
  <c r="A322" i="1"/>
  <c r="A323" i="1"/>
  <c r="A324" i="1"/>
  <c r="A212" i="1"/>
  <c r="A213" i="1"/>
  <c r="A214" i="1"/>
  <c r="A215" i="1"/>
  <c r="A109" i="1"/>
  <c r="A216" i="1"/>
  <c r="A217" i="1"/>
  <c r="A218" i="1"/>
  <c r="A66" i="1"/>
  <c r="A219" i="1"/>
  <c r="A67" i="1"/>
  <c r="A8" i="1"/>
  <c r="A5" i="1"/>
  <c r="A68" i="1"/>
  <c r="A325" i="1"/>
  <c r="A266" i="1"/>
  <c r="A220" i="1"/>
  <c r="A326" i="1"/>
  <c r="A327" i="1"/>
  <c r="A221" i="1"/>
  <c r="A328" i="1"/>
  <c r="A329" i="1"/>
  <c r="A222" i="1"/>
  <c r="A223" i="1"/>
  <c r="A224" i="1"/>
  <c r="A225" i="1"/>
  <c r="A110" i="1"/>
  <c r="A96" i="1"/>
  <c r="A97" i="1"/>
  <c r="A330" i="1"/>
  <c r="A331" i="1"/>
  <c r="A111" i="1"/>
  <c r="A226" i="1"/>
  <c r="A69" i="1"/>
  <c r="A332" i="1"/>
  <c r="A267" i="1"/>
  <c r="A227" i="1"/>
  <c r="A333" i="1"/>
  <c r="A268" i="1"/>
  <c r="A228" i="1"/>
  <c r="A229" i="1"/>
  <c r="A230" i="1"/>
  <c r="A112" i="1"/>
  <c r="A334" i="1"/>
  <c r="A231" i="1"/>
  <c r="A70" i="1"/>
  <c r="A71" i="1"/>
  <c r="A232" i="1"/>
  <c r="A72" i="1"/>
  <c r="A233" i="1"/>
  <c r="A234" i="1"/>
  <c r="A235" i="1"/>
  <c r="A269" i="1"/>
  <c r="A236" i="1"/>
  <c r="A237" i="1"/>
  <c r="A270" i="1"/>
  <c r="A238" i="1"/>
  <c r="A239" i="1"/>
  <c r="A240" i="1"/>
  <c r="A113" i="1"/>
  <c r="A241" i="1"/>
  <c r="A73" i="1"/>
  <c r="A74" i="1"/>
  <c r="A335" i="1"/>
  <c r="A75" i="1"/>
  <c r="A242" i="1"/>
  <c r="A243" i="1"/>
  <c r="A76" i="1"/>
  <c r="A244" i="1"/>
  <c r="A77" i="1"/>
  <c r="A114" i="1"/>
  <c r="A78" i="1"/>
  <c r="A245" i="1"/>
  <c r="A79" i="1"/>
  <c r="A336" i="1"/>
  <c r="A9" i="1"/>
  <c r="A80" i="1"/>
  <c r="A81" i="1"/>
  <c r="A82" i="1"/>
  <c r="A83" i="1"/>
  <c r="A84" i="1"/>
  <c r="A85" i="1"/>
  <c r="A86" i="1"/>
  <c r="A87" i="1"/>
  <c r="A88" i="1"/>
  <c r="A89" i="1"/>
  <c r="A90" i="1"/>
  <c r="A91" i="1"/>
  <c r="A246" i="1"/>
  <c r="A247" i="1"/>
  <c r="A248" i="1"/>
  <c r="A337" i="1"/>
  <c r="C6" i="3"/>
  <c r="G71" i="3"/>
  <c r="D16" i="3" s="1"/>
  <c r="G72" i="3"/>
  <c r="D17" i="3" s="1"/>
  <c r="E71" i="3"/>
  <c r="C16" i="3" s="1"/>
  <c r="E72" i="3"/>
  <c r="C17" i="3" s="1"/>
  <c r="E9" i="3"/>
  <c r="C9" i="3"/>
  <c r="C8" i="3"/>
  <c r="D7" i="3"/>
  <c r="C7" i="3"/>
  <c r="E5" i="3"/>
  <c r="C5" i="3"/>
  <c r="E380" i="8"/>
  <c r="A2" i="1"/>
  <c r="E77" i="3"/>
  <c r="F77" i="3"/>
  <c r="G77" i="3"/>
  <c r="E80" i="3"/>
  <c r="F80" i="3"/>
  <c r="G80" i="3"/>
  <c r="E81" i="3"/>
  <c r="E82" i="3"/>
  <c r="F82" i="3"/>
  <c r="G82" i="3"/>
  <c r="E83" i="3"/>
  <c r="E84" i="3"/>
  <c r="F84" i="3"/>
  <c r="G84" i="3"/>
  <c r="E85" i="3"/>
  <c r="E86" i="3"/>
  <c r="F86" i="3"/>
  <c r="G86" i="3"/>
  <c r="E87" i="3"/>
  <c r="E88" i="3"/>
  <c r="F88" i="3"/>
  <c r="G88" i="3"/>
  <c r="E89" i="3"/>
  <c r="E90" i="3"/>
  <c r="F90" i="3"/>
  <c r="G90" i="3"/>
  <c r="E91" i="3"/>
  <c r="E94" i="3"/>
  <c r="F94" i="3"/>
  <c r="G94" i="3"/>
  <c r="E95" i="3"/>
  <c r="E96" i="3"/>
  <c r="F96" i="3"/>
  <c r="G96" i="3"/>
  <c r="E97" i="3"/>
  <c r="E98" i="3"/>
  <c r="F98" i="3"/>
  <c r="G98" i="3"/>
  <c r="E99" i="3"/>
  <c r="E102" i="3"/>
  <c r="F102" i="3"/>
  <c r="G102" i="3"/>
  <c r="E103" i="3"/>
  <c r="E104" i="3"/>
  <c r="F104" i="3"/>
  <c r="G104" i="3"/>
  <c r="E105" i="3"/>
  <c r="E106" i="3"/>
  <c r="F106" i="3"/>
  <c r="G106" i="3"/>
  <c r="E107" i="3"/>
  <c r="E108" i="3"/>
  <c r="F108" i="3"/>
  <c r="G108" i="3"/>
  <c r="E109" i="3"/>
  <c r="E110" i="3"/>
  <c r="F110" i="3"/>
  <c r="G110" i="3"/>
  <c r="E111" i="3"/>
  <c r="E112" i="3"/>
  <c r="F112" i="3"/>
  <c r="G112" i="3"/>
  <c r="E113" i="3"/>
  <c r="E116" i="3"/>
  <c r="F116" i="3"/>
  <c r="G116" i="3"/>
  <c r="E117" i="3"/>
  <c r="E118" i="3"/>
  <c r="F118" i="3"/>
  <c r="G118" i="3"/>
  <c r="E119" i="3"/>
  <c r="E120" i="3"/>
  <c r="F120" i="3"/>
  <c r="G120" i="3"/>
  <c r="E121" i="3"/>
  <c r="E122" i="3"/>
  <c r="F122" i="3"/>
  <c r="G122" i="3"/>
  <c r="E123" i="3"/>
  <c r="E124" i="3"/>
  <c r="F124" i="3"/>
  <c r="G124" i="3"/>
  <c r="E125" i="3"/>
  <c r="E126" i="3"/>
  <c r="F126" i="3"/>
  <c r="G126" i="3"/>
  <c r="E127" i="3"/>
  <c r="E130" i="3"/>
  <c r="F130" i="3"/>
  <c r="G130" i="3"/>
  <c r="E131" i="3"/>
  <c r="E133" i="3"/>
  <c r="F133" i="3"/>
  <c r="G133" i="3"/>
  <c r="E134" i="3"/>
  <c r="E137" i="3"/>
  <c r="F137" i="3"/>
  <c r="G137" i="3"/>
  <c r="E138" i="3"/>
  <c r="E139" i="3"/>
  <c r="F139" i="3"/>
  <c r="G139" i="3"/>
  <c r="E140" i="3"/>
  <c r="E141" i="3"/>
  <c r="F141" i="3"/>
  <c r="G141" i="3"/>
  <c r="E142" i="3"/>
  <c r="E143" i="3"/>
  <c r="F143" i="3"/>
  <c r="G143" i="3"/>
  <c r="E144" i="3"/>
  <c r="E145" i="3"/>
  <c r="F145" i="3"/>
  <c r="G145" i="3"/>
  <c r="E146" i="3"/>
  <c r="E149" i="3"/>
  <c r="F149" i="3"/>
  <c r="G149" i="3"/>
  <c r="E150" i="3"/>
  <c r="E151" i="3"/>
  <c r="F151" i="3"/>
  <c r="G151" i="3"/>
  <c r="E152" i="3"/>
  <c r="E153" i="3"/>
  <c r="F153" i="3"/>
  <c r="E154" i="3"/>
  <c r="E155" i="3"/>
  <c r="F155" i="3"/>
  <c r="G155" i="3"/>
  <c r="E156" i="3"/>
  <c r="E157" i="3"/>
  <c r="F157" i="3"/>
  <c r="G157" i="3"/>
  <c r="E158" i="3"/>
  <c r="E159" i="3"/>
  <c r="F159" i="3"/>
  <c r="G159" i="3"/>
  <c r="E160" i="3"/>
  <c r="E161" i="3"/>
  <c r="F161" i="3"/>
  <c r="G161" i="3"/>
  <c r="E162" i="3"/>
  <c r="E164" i="3"/>
  <c r="F164" i="3"/>
  <c r="G164" i="3"/>
  <c r="E165" i="3"/>
  <c r="E168" i="3"/>
  <c r="F168" i="3"/>
  <c r="G168" i="3"/>
  <c r="E169" i="3"/>
  <c r="F169" i="3"/>
  <c r="G169" i="3"/>
  <c r="E170" i="3"/>
  <c r="F170" i="3"/>
  <c r="G170" i="3"/>
  <c r="E172" i="3"/>
  <c r="F172" i="3"/>
  <c r="G172" i="3"/>
  <c r="E173" i="3"/>
  <c r="E174" i="3"/>
  <c r="E175" i="3"/>
  <c r="G181" i="3"/>
  <c r="E182" i="3"/>
  <c r="F182" i="3"/>
  <c r="G182" i="3"/>
  <c r="E183" i="3"/>
  <c r="F183" i="3"/>
  <c r="G183" i="3"/>
  <c r="E184" i="3"/>
  <c r="F184" i="3"/>
  <c r="G184" i="3"/>
  <c r="E185" i="3"/>
  <c r="F185" i="3"/>
  <c r="G185" i="3"/>
  <c r="E186" i="3"/>
  <c r="F186" i="3"/>
  <c r="G186" i="3"/>
  <c r="E187" i="3"/>
  <c r="F187" i="3"/>
  <c r="G187" i="3"/>
  <c r="E188" i="3"/>
  <c r="F188" i="3"/>
  <c r="G188" i="3"/>
  <c r="E189" i="3"/>
  <c r="F189" i="3"/>
  <c r="G189" i="3"/>
  <c r="E190" i="3"/>
  <c r="F190" i="3"/>
  <c r="G190" i="3"/>
  <c r="E191" i="3"/>
  <c r="F191" i="3"/>
  <c r="G191" i="3"/>
  <c r="E192" i="3"/>
  <c r="F192" i="3"/>
  <c r="G192" i="3"/>
  <c r="E193" i="3"/>
  <c r="F193" i="3"/>
  <c r="G193" i="3"/>
  <c r="E194" i="3"/>
  <c r="F194" i="3"/>
  <c r="G194" i="3"/>
  <c r="E196" i="3"/>
  <c r="F196" i="3"/>
  <c r="G196" i="3"/>
  <c r="E198" i="3"/>
  <c r="F198" i="3"/>
  <c r="G198" i="3"/>
  <c r="E199" i="3"/>
  <c r="F199" i="3"/>
  <c r="G199" i="3"/>
  <c r="E202" i="3"/>
  <c r="F202" i="3"/>
  <c r="G202" i="3"/>
  <c r="E206" i="3"/>
  <c r="F206" i="3"/>
  <c r="G206" i="3"/>
  <c r="E207" i="3"/>
  <c r="F207" i="3"/>
  <c r="G207" i="3"/>
  <c r="E209" i="3"/>
  <c r="F209" i="3"/>
  <c r="G209" i="3"/>
  <c r="E210" i="3"/>
  <c r="F210" i="3"/>
  <c r="G210" i="3"/>
  <c r="E212" i="3"/>
  <c r="F212" i="3"/>
  <c r="G212" i="3"/>
  <c r="E213" i="3"/>
  <c r="F213" i="3"/>
  <c r="G213" i="3"/>
  <c r="E215" i="3"/>
  <c r="F215" i="3"/>
  <c r="G215" i="3"/>
  <c r="E220" i="3"/>
  <c r="F220" i="3"/>
  <c r="G220" i="3"/>
  <c r="E221" i="3"/>
  <c r="F221" i="3"/>
  <c r="G221" i="3"/>
  <c r="E222" i="3"/>
  <c r="F222" i="3"/>
  <c r="G222" i="3"/>
  <c r="E223" i="3"/>
  <c r="F223" i="3"/>
  <c r="G223" i="3"/>
  <c r="E226" i="3"/>
  <c r="F226" i="3"/>
  <c r="G226" i="3"/>
  <c r="E227" i="3"/>
  <c r="F227" i="3"/>
  <c r="G227" i="3"/>
  <c r="E228" i="3"/>
  <c r="F228" i="3"/>
  <c r="G228" i="3"/>
  <c r="E229" i="3"/>
  <c r="F229" i="3"/>
  <c r="G229" i="3"/>
  <c r="E230" i="3"/>
  <c r="F230" i="3"/>
  <c r="G230" i="3"/>
  <c r="E231" i="3"/>
  <c r="F231" i="3"/>
  <c r="G231" i="3"/>
  <c r="E233" i="3"/>
  <c r="F233" i="3"/>
  <c r="G233" i="3"/>
  <c r="E235" i="3"/>
  <c r="F235" i="3"/>
  <c r="G235" i="3"/>
  <c r="E237" i="3"/>
  <c r="F237" i="3"/>
  <c r="G237" i="3"/>
  <c r="G238" i="3"/>
  <c r="E246" i="3"/>
  <c r="F246" i="3"/>
  <c r="G246" i="3"/>
  <c r="E248" i="3"/>
  <c r="F248" i="3"/>
  <c r="G248" i="3"/>
  <c r="E249" i="3"/>
  <c r="C34" i="3" s="1"/>
  <c r="F249" i="3"/>
  <c r="D34" i="3" s="1"/>
  <c r="G249" i="3"/>
  <c r="E250" i="3"/>
  <c r="F250" i="3"/>
  <c r="G250" i="3"/>
  <c r="E261" i="3"/>
  <c r="F261" i="3"/>
  <c r="G261" i="3"/>
  <c r="E262" i="3"/>
  <c r="F262" i="3"/>
  <c r="E263" i="3"/>
  <c r="F263" i="3"/>
  <c r="E264" i="3"/>
  <c r="F264" i="3"/>
  <c r="G264" i="3"/>
  <c r="E265" i="3"/>
  <c r="F265" i="3"/>
  <c r="E266" i="3"/>
  <c r="F266" i="3"/>
  <c r="E267" i="3"/>
  <c r="F267" i="3"/>
  <c r="G267" i="3"/>
  <c r="E268" i="3"/>
  <c r="F268" i="3"/>
  <c r="E269" i="3"/>
  <c r="F269" i="3"/>
  <c r="E270" i="3"/>
  <c r="F270" i="3"/>
  <c r="G270" i="3"/>
  <c r="E271" i="3"/>
  <c r="F271" i="3"/>
  <c r="E272" i="3"/>
  <c r="F272" i="3"/>
  <c r="E274" i="3"/>
  <c r="F274" i="3"/>
  <c r="G274" i="3"/>
  <c r="E275" i="3"/>
  <c r="F275" i="3"/>
  <c r="G275" i="3"/>
  <c r="E276" i="3"/>
  <c r="F276" i="3"/>
  <c r="G276" i="3"/>
  <c r="E277" i="3"/>
  <c r="F277" i="3"/>
  <c r="G277" i="3"/>
  <c r="E278" i="3"/>
  <c r="F278" i="3"/>
  <c r="G278" i="3"/>
  <c r="E280" i="3"/>
  <c r="F280" i="3"/>
  <c r="G280" i="3"/>
  <c r="E283" i="3"/>
  <c r="F283" i="3"/>
  <c r="G283" i="3"/>
  <c r="E284" i="3"/>
  <c r="F284" i="3"/>
  <c r="G284" i="3"/>
  <c r="E285" i="3"/>
  <c r="F285" i="3"/>
  <c r="G285" i="3"/>
  <c r="E286" i="3"/>
  <c r="F286" i="3"/>
  <c r="G286" i="3"/>
  <c r="E287" i="3"/>
  <c r="F287" i="3"/>
  <c r="G287" i="3"/>
  <c r="E288" i="3"/>
  <c r="F288" i="3"/>
  <c r="G288" i="3"/>
  <c r="E291" i="3"/>
  <c r="F291" i="3"/>
  <c r="G291" i="3"/>
  <c r="E292" i="3"/>
  <c r="F292" i="3"/>
  <c r="G292" i="3"/>
  <c r="E295" i="3"/>
  <c r="F295" i="3"/>
  <c r="G295" i="3"/>
  <c r="E296" i="3"/>
  <c r="F296" i="3"/>
  <c r="G296" i="3"/>
  <c r="E297" i="3"/>
  <c r="F297" i="3"/>
  <c r="G297" i="3"/>
  <c r="E298" i="3"/>
  <c r="F298" i="3"/>
  <c r="G298" i="3"/>
  <c r="E300" i="3"/>
  <c r="F300" i="3"/>
  <c r="G300" i="3"/>
  <c r="E302" i="3"/>
  <c r="F302" i="3"/>
  <c r="C40" i="3" s="1"/>
  <c r="G302" i="3"/>
  <c r="D40" i="3" s="1"/>
  <c r="E304" i="3"/>
  <c r="F304" i="3"/>
  <c r="G304" i="3"/>
  <c r="G305" i="3"/>
  <c r="E308" i="3"/>
  <c r="F308" i="3"/>
  <c r="G308" i="3"/>
  <c r="E309" i="3"/>
  <c r="F309" i="3"/>
  <c r="G309" i="3"/>
  <c r="E310" i="3"/>
  <c r="F310" i="3"/>
  <c r="G310" i="3"/>
  <c r="E311" i="3"/>
  <c r="F311" i="3"/>
  <c r="G311" i="3"/>
  <c r="E312" i="3"/>
  <c r="F312" i="3"/>
  <c r="G312" i="3"/>
  <c r="E313" i="3"/>
  <c r="F313" i="3"/>
  <c r="G313" i="3"/>
  <c r="E314" i="3"/>
  <c r="F314" i="3"/>
  <c r="G314" i="3"/>
  <c r="E315" i="3"/>
  <c r="F315" i="3"/>
  <c r="G315" i="3"/>
  <c r="G316" i="3"/>
  <c r="E317" i="3"/>
  <c r="F317" i="3"/>
  <c r="C42" i="3" s="1"/>
  <c r="G317" i="3"/>
  <c r="D42" i="3" s="1"/>
  <c r="G318" i="3"/>
  <c r="G319" i="3"/>
  <c r="E320" i="3"/>
  <c r="F320" i="3"/>
  <c r="G320" i="3"/>
  <c r="E321" i="3"/>
  <c r="F321" i="3"/>
  <c r="G321" i="3"/>
  <c r="E322" i="3"/>
  <c r="F322" i="3"/>
  <c r="G322" i="3"/>
  <c r="E323" i="3"/>
  <c r="F323" i="3"/>
  <c r="G323" i="3"/>
  <c r="G324" i="3"/>
  <c r="E325" i="3"/>
  <c r="F325" i="3"/>
  <c r="C44" i="3" s="1"/>
  <c r="G325" i="3"/>
  <c r="D44" i="3" s="1"/>
  <c r="G326" i="3"/>
  <c r="G327" i="3"/>
  <c r="E328" i="3"/>
  <c r="F328" i="3"/>
  <c r="G328" i="3"/>
  <c r="G329" i="3"/>
  <c r="G330" i="3"/>
  <c r="G331" i="3"/>
  <c r="E332" i="3"/>
  <c r="F332" i="3"/>
  <c r="G332" i="3"/>
  <c r="E333" i="3"/>
  <c r="F333" i="3"/>
  <c r="G333" i="3"/>
  <c r="E334" i="3"/>
  <c r="F334" i="3"/>
  <c r="G334" i="3"/>
  <c r="G335" i="3"/>
  <c r="E336" i="3"/>
  <c r="F336" i="3"/>
  <c r="C45" i="3" s="1"/>
  <c r="G336" i="3"/>
  <c r="D45" i="3" s="1"/>
  <c r="G337" i="3"/>
  <c r="G338" i="3"/>
  <c r="E339" i="3"/>
  <c r="F339" i="3"/>
  <c r="G339" i="3"/>
  <c r="E340" i="3"/>
  <c r="F340" i="3"/>
  <c r="G340" i="3"/>
  <c r="E341" i="3"/>
  <c r="F341" i="3"/>
  <c r="G341" i="3"/>
  <c r="G342" i="3"/>
  <c r="E343" i="3"/>
  <c r="F343" i="3"/>
  <c r="C46" i="3" s="1"/>
  <c r="G343" i="3"/>
  <c r="D46" i="3" s="1"/>
  <c r="G344" i="3"/>
  <c r="E345" i="3"/>
  <c r="F345" i="3"/>
  <c r="C47" i="3" s="1"/>
  <c r="G345" i="3"/>
  <c r="D47" i="3" s="1"/>
  <c r="G346" i="3"/>
  <c r="G347" i="3"/>
  <c r="E348" i="3"/>
  <c r="F348" i="3"/>
  <c r="G348" i="3"/>
  <c r="E349" i="3"/>
  <c r="F349" i="3"/>
  <c r="G349" i="3"/>
  <c r="G350" i="3"/>
  <c r="G351" i="3"/>
  <c r="G352" i="3"/>
  <c r="E353" i="3"/>
  <c r="F353" i="3"/>
  <c r="C50" i="3" s="1"/>
  <c r="G353" i="3"/>
  <c r="D50" i="3" s="1"/>
  <c r="E354" i="3"/>
  <c r="F354" i="3"/>
  <c r="C51" i="3" s="1"/>
  <c r="G354" i="3"/>
  <c r="D51" i="3" s="1"/>
  <c r="E355" i="3"/>
  <c r="F355" i="3"/>
  <c r="C52" i="3" s="1"/>
  <c r="G355" i="3"/>
  <c r="D52" i="3" s="1"/>
  <c r="E356" i="3"/>
  <c r="F356" i="3"/>
  <c r="C53" i="3" s="1"/>
  <c r="G356" i="3"/>
  <c r="D53" i="3" s="1"/>
  <c r="E357" i="3"/>
  <c r="F357" i="3"/>
  <c r="C54" i="3" s="1"/>
  <c r="G357" i="3"/>
  <c r="D54" i="3" s="1"/>
  <c r="E358" i="3"/>
  <c r="F358" i="3"/>
  <c r="C55" i="3" s="1"/>
  <c r="G358" i="3"/>
  <c r="D55" i="3" s="1"/>
  <c r="D65" i="3" s="1"/>
  <c r="E359" i="3"/>
  <c r="F359" i="3"/>
  <c r="C56" i="3" s="1"/>
  <c r="G359" i="3"/>
  <c r="D56" i="3" s="1"/>
  <c r="E360" i="3"/>
  <c r="F360" i="3"/>
  <c r="C57" i="3" s="1"/>
  <c r="G360" i="3"/>
  <c r="D57" i="3" s="1"/>
  <c r="G361" i="3"/>
  <c r="G362" i="3"/>
  <c r="E363" i="3"/>
  <c r="F363" i="3"/>
  <c r="G363" i="3"/>
  <c r="E364" i="3"/>
  <c r="F364" i="3"/>
  <c r="G364" i="3"/>
  <c r="N92" i="3"/>
  <c r="N93" i="3"/>
  <c r="N100" i="3"/>
  <c r="N101" i="3"/>
  <c r="N114" i="3"/>
  <c r="N115" i="3"/>
  <c r="N128" i="3"/>
  <c r="N129" i="3"/>
  <c r="N132" i="3"/>
  <c r="N135" i="3"/>
  <c r="N136" i="3"/>
  <c r="N147" i="3"/>
  <c r="N148" i="3"/>
  <c r="N163" i="3"/>
  <c r="N166" i="3"/>
  <c r="N167" i="3"/>
  <c r="N171" i="3"/>
  <c r="N176" i="3"/>
  <c r="N177" i="3"/>
  <c r="N178" i="3"/>
  <c r="N179" i="3"/>
  <c r="N180" i="3"/>
  <c r="N195" i="3"/>
  <c r="N197" i="3"/>
  <c r="N201" i="3"/>
  <c r="N203" i="3"/>
  <c r="N204" i="3"/>
  <c r="N211" i="3"/>
  <c r="N214" i="3"/>
  <c r="N216" i="3"/>
  <c r="N217" i="3"/>
  <c r="N218" i="3"/>
  <c r="N219" i="3"/>
  <c r="N224" i="3"/>
  <c r="N225" i="3"/>
  <c r="N232" i="3"/>
  <c r="N234" i="3"/>
  <c r="N236" i="3"/>
  <c r="N238" i="3"/>
  <c r="N239" i="3"/>
  <c r="N240" i="3"/>
  <c r="N241" i="3"/>
  <c r="N251" i="3"/>
  <c r="N252" i="3"/>
  <c r="N253" i="3"/>
  <c r="N254" i="3"/>
  <c r="N255" i="3"/>
  <c r="N256" i="3"/>
  <c r="N259" i="3"/>
  <c r="N260" i="3"/>
  <c r="N273" i="3"/>
  <c r="N279" i="3"/>
  <c r="N281" i="3"/>
  <c r="N282" i="3"/>
  <c r="N289" i="3"/>
  <c r="N290" i="3"/>
  <c r="N293" i="3"/>
  <c r="N294" i="3"/>
  <c r="N300" i="3"/>
  <c r="N303" i="3"/>
  <c r="N305" i="3"/>
  <c r="N306" i="3"/>
  <c r="N307" i="3"/>
  <c r="N316" i="3"/>
  <c r="N318" i="3"/>
  <c r="N319" i="3"/>
  <c r="N324" i="3"/>
  <c r="N326" i="3"/>
  <c r="N327" i="3"/>
  <c r="N329" i="3"/>
  <c r="N330" i="3"/>
  <c r="N331" i="3"/>
  <c r="N335" i="3"/>
  <c r="N337" i="3"/>
  <c r="N338" i="3"/>
  <c r="N342" i="3"/>
  <c r="N344" i="3"/>
  <c r="N346" i="3"/>
  <c r="N347" i="3"/>
  <c r="N350" i="3"/>
  <c r="N351" i="3"/>
  <c r="N352" i="3"/>
  <c r="N361" i="3"/>
  <c r="N362" i="3"/>
  <c r="K81" i="3"/>
  <c r="N81" i="3" s="1"/>
  <c r="K83" i="3"/>
  <c r="N83" i="3" s="1"/>
  <c r="N79" i="3"/>
  <c r="N78" i="3"/>
  <c r="M77" i="3"/>
  <c r="M78" i="3"/>
  <c r="M79" i="3"/>
  <c r="M81" i="3"/>
  <c r="M83" i="3"/>
  <c r="M85" i="3"/>
  <c r="M87" i="3"/>
  <c r="M89" i="3"/>
  <c r="M91" i="3"/>
  <c r="M92" i="3"/>
  <c r="M93" i="3"/>
  <c r="M95" i="3"/>
  <c r="M97" i="3"/>
  <c r="M99" i="3"/>
  <c r="M100" i="3"/>
  <c r="M101" i="3"/>
  <c r="M103" i="3"/>
  <c r="M105" i="3"/>
  <c r="M107" i="3"/>
  <c r="M109" i="3"/>
  <c r="M111" i="3"/>
  <c r="M113" i="3"/>
  <c r="M114" i="3"/>
  <c r="M115" i="3"/>
  <c r="M117" i="3"/>
  <c r="M119" i="3"/>
  <c r="M121" i="3"/>
  <c r="M123" i="3"/>
  <c r="M125" i="3"/>
  <c r="M127" i="3"/>
  <c r="M128" i="3"/>
  <c r="M129" i="3"/>
  <c r="M131" i="3"/>
  <c r="M132" i="3"/>
  <c r="M134" i="3"/>
  <c r="M135" i="3"/>
  <c r="M136" i="3"/>
  <c r="M138" i="3"/>
  <c r="M140" i="3"/>
  <c r="M142" i="3"/>
  <c r="M144" i="3"/>
  <c r="M146" i="3"/>
  <c r="M147" i="3"/>
  <c r="M148" i="3"/>
  <c r="M150" i="3"/>
  <c r="M152" i="3"/>
  <c r="M154" i="3"/>
  <c r="M156" i="3"/>
  <c r="M158" i="3"/>
  <c r="M160" i="3"/>
  <c r="M162" i="3"/>
  <c r="M163" i="3"/>
  <c r="M165" i="3"/>
  <c r="M166" i="3"/>
  <c r="M167" i="3"/>
  <c r="M171" i="3"/>
  <c r="M173" i="3"/>
  <c r="M174" i="3"/>
  <c r="M175" i="3"/>
  <c r="M176" i="3"/>
  <c r="M177" i="3"/>
  <c r="M178" i="3"/>
  <c r="M179" i="3"/>
  <c r="M180" i="3"/>
  <c r="M181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77" i="3"/>
  <c r="J183" i="3"/>
  <c r="M183" i="3" s="1"/>
  <c r="J184" i="3"/>
  <c r="M184" i="3" s="1"/>
  <c r="J185" i="3"/>
  <c r="M185" i="3" s="1"/>
  <c r="J186" i="3"/>
  <c r="M186" i="3" s="1"/>
  <c r="J187" i="3"/>
  <c r="M187" i="3" s="1"/>
  <c r="J188" i="3"/>
  <c r="M188" i="3" s="1"/>
  <c r="J189" i="3"/>
  <c r="M189" i="3" s="1"/>
  <c r="J190" i="3"/>
  <c r="M190" i="3" s="1"/>
  <c r="J191" i="3"/>
  <c r="M191" i="3" s="1"/>
  <c r="J192" i="3"/>
  <c r="M192" i="3" s="1"/>
  <c r="J193" i="3"/>
  <c r="M193" i="3" s="1"/>
  <c r="J194" i="3"/>
  <c r="M194" i="3" s="1"/>
  <c r="J195" i="3"/>
  <c r="M195" i="3" s="1"/>
  <c r="J196" i="3"/>
  <c r="M196" i="3" s="1"/>
  <c r="J197" i="3"/>
  <c r="M197" i="3" s="1"/>
  <c r="J198" i="3"/>
  <c r="M198" i="3" s="1"/>
  <c r="J199" i="3"/>
  <c r="M199" i="3" s="1"/>
  <c r="J200" i="3"/>
  <c r="M200" i="3" s="1"/>
  <c r="J201" i="3"/>
  <c r="M201" i="3" s="1"/>
  <c r="J202" i="3"/>
  <c r="M202" i="3" s="1"/>
  <c r="J203" i="3"/>
  <c r="M203" i="3" s="1"/>
  <c r="J204" i="3"/>
  <c r="M204" i="3" s="1"/>
  <c r="J205" i="3"/>
  <c r="M205" i="3" s="1"/>
  <c r="J206" i="3"/>
  <c r="M206" i="3" s="1"/>
  <c r="J207" i="3"/>
  <c r="M207" i="3" s="1"/>
  <c r="J208" i="3"/>
  <c r="M208" i="3" s="1"/>
  <c r="J209" i="3"/>
  <c r="M209" i="3" s="1"/>
  <c r="J210" i="3"/>
  <c r="M210" i="3" s="1"/>
  <c r="J211" i="3"/>
  <c r="M211" i="3" s="1"/>
  <c r="J212" i="3"/>
  <c r="M212" i="3" s="1"/>
  <c r="J213" i="3"/>
  <c r="M213" i="3" s="1"/>
  <c r="J214" i="3"/>
  <c r="M214" i="3" s="1"/>
  <c r="J215" i="3"/>
  <c r="M215" i="3" s="1"/>
  <c r="J216" i="3"/>
  <c r="M216" i="3" s="1"/>
  <c r="J217" i="3"/>
  <c r="M217" i="3" s="1"/>
  <c r="J218" i="3"/>
  <c r="M218" i="3" s="1"/>
  <c r="J219" i="3"/>
  <c r="M219" i="3" s="1"/>
  <c r="J220" i="3"/>
  <c r="M220" i="3" s="1"/>
  <c r="J221" i="3"/>
  <c r="M221" i="3" s="1"/>
  <c r="J222" i="3"/>
  <c r="M222" i="3" s="1"/>
  <c r="J223" i="3"/>
  <c r="M223" i="3" s="1"/>
  <c r="J224" i="3"/>
  <c r="M224" i="3" s="1"/>
  <c r="J225" i="3"/>
  <c r="M225" i="3" s="1"/>
  <c r="J226" i="3"/>
  <c r="M226" i="3" s="1"/>
  <c r="J227" i="3"/>
  <c r="M227" i="3" s="1"/>
  <c r="J228" i="3"/>
  <c r="M228" i="3" s="1"/>
  <c r="J229" i="3"/>
  <c r="M229" i="3" s="1"/>
  <c r="J230" i="3"/>
  <c r="M230" i="3" s="1"/>
  <c r="J231" i="3"/>
  <c r="M231" i="3" s="1"/>
  <c r="J232" i="3"/>
  <c r="M232" i="3" s="1"/>
  <c r="J233" i="3"/>
  <c r="M233" i="3" s="1"/>
  <c r="J234" i="3"/>
  <c r="M234" i="3" s="1"/>
  <c r="J235" i="3"/>
  <c r="M235" i="3" s="1"/>
  <c r="J236" i="3"/>
  <c r="M236" i="3" s="1"/>
  <c r="J237" i="3"/>
  <c r="M237" i="3" s="1"/>
  <c r="J238" i="3"/>
  <c r="M238" i="3" s="1"/>
  <c r="J239" i="3"/>
  <c r="M239" i="3" s="1"/>
  <c r="J240" i="3"/>
  <c r="M240" i="3" s="1"/>
  <c r="J241" i="3"/>
  <c r="M241" i="3" s="1"/>
  <c r="J242" i="3"/>
  <c r="M242" i="3" s="1"/>
  <c r="J243" i="3"/>
  <c r="M243" i="3" s="1"/>
  <c r="J244" i="3"/>
  <c r="M244" i="3" s="1"/>
  <c r="J245" i="3"/>
  <c r="M245" i="3" s="1"/>
  <c r="J246" i="3"/>
  <c r="M246" i="3" s="1"/>
  <c r="J247" i="3"/>
  <c r="M247" i="3" s="1"/>
  <c r="J248" i="3"/>
  <c r="M248" i="3" s="1"/>
  <c r="J249" i="3"/>
  <c r="M249" i="3" s="1"/>
  <c r="J250" i="3"/>
  <c r="M250" i="3" s="1"/>
  <c r="J251" i="3"/>
  <c r="M251" i="3" s="1"/>
  <c r="J252" i="3"/>
  <c r="M252" i="3" s="1"/>
  <c r="J253" i="3"/>
  <c r="M253" i="3" s="1"/>
  <c r="J254" i="3"/>
  <c r="M254" i="3" s="1"/>
  <c r="J255" i="3"/>
  <c r="M255" i="3" s="1"/>
  <c r="J256" i="3"/>
  <c r="M256" i="3" s="1"/>
  <c r="J257" i="3"/>
  <c r="M257" i="3" s="1"/>
  <c r="J258" i="3"/>
  <c r="M258" i="3" s="1"/>
  <c r="J259" i="3"/>
  <c r="M259" i="3" s="1"/>
  <c r="J260" i="3"/>
  <c r="M260" i="3" s="1"/>
  <c r="J261" i="3"/>
  <c r="M261" i="3" s="1"/>
  <c r="J262" i="3"/>
  <c r="M262" i="3" s="1"/>
  <c r="J263" i="3"/>
  <c r="M263" i="3" s="1"/>
  <c r="J264" i="3"/>
  <c r="M264" i="3" s="1"/>
  <c r="J265" i="3"/>
  <c r="M265" i="3" s="1"/>
  <c r="J266" i="3"/>
  <c r="M266" i="3" s="1"/>
  <c r="J267" i="3"/>
  <c r="M267" i="3" s="1"/>
  <c r="J268" i="3"/>
  <c r="M268" i="3" s="1"/>
  <c r="J269" i="3"/>
  <c r="M269" i="3" s="1"/>
  <c r="J270" i="3"/>
  <c r="M270" i="3" s="1"/>
  <c r="J271" i="3"/>
  <c r="M271" i="3" s="1"/>
  <c r="J272" i="3"/>
  <c r="M272" i="3" s="1"/>
  <c r="J273" i="3"/>
  <c r="M273" i="3" s="1"/>
  <c r="J274" i="3"/>
  <c r="M274" i="3" s="1"/>
  <c r="J275" i="3"/>
  <c r="M275" i="3" s="1"/>
  <c r="J276" i="3"/>
  <c r="M276" i="3" s="1"/>
  <c r="J277" i="3"/>
  <c r="M277" i="3" s="1"/>
  <c r="J278" i="3"/>
  <c r="M278" i="3" s="1"/>
  <c r="J279" i="3"/>
  <c r="M279" i="3" s="1"/>
  <c r="J280" i="3"/>
  <c r="M280" i="3" s="1"/>
  <c r="J281" i="3"/>
  <c r="M281" i="3" s="1"/>
  <c r="J282" i="3"/>
  <c r="M282" i="3" s="1"/>
  <c r="J283" i="3"/>
  <c r="M283" i="3" s="1"/>
  <c r="J284" i="3"/>
  <c r="M284" i="3" s="1"/>
  <c r="J285" i="3"/>
  <c r="M285" i="3" s="1"/>
  <c r="J286" i="3"/>
  <c r="M286" i="3" s="1"/>
  <c r="J287" i="3"/>
  <c r="M287" i="3" s="1"/>
  <c r="J288" i="3"/>
  <c r="M288" i="3" s="1"/>
  <c r="J289" i="3"/>
  <c r="M289" i="3" s="1"/>
  <c r="J290" i="3"/>
  <c r="M290" i="3" s="1"/>
  <c r="J291" i="3"/>
  <c r="M291" i="3" s="1"/>
  <c r="J292" i="3"/>
  <c r="M292" i="3" s="1"/>
  <c r="J293" i="3"/>
  <c r="M293" i="3" s="1"/>
  <c r="J294" i="3"/>
  <c r="M294" i="3" s="1"/>
  <c r="J295" i="3"/>
  <c r="M295" i="3" s="1"/>
  <c r="J296" i="3"/>
  <c r="M296" i="3" s="1"/>
  <c r="J297" i="3"/>
  <c r="M297" i="3" s="1"/>
  <c r="J298" i="3"/>
  <c r="M298" i="3" s="1"/>
  <c r="J299" i="3"/>
  <c r="M299" i="3" s="1"/>
  <c r="J300" i="3"/>
  <c r="M300" i="3" s="1"/>
  <c r="J301" i="3"/>
  <c r="M301" i="3" s="1"/>
  <c r="J302" i="3"/>
  <c r="M302" i="3" s="1"/>
  <c r="J303" i="3"/>
  <c r="M303" i="3" s="1"/>
  <c r="J304" i="3"/>
  <c r="M304" i="3" s="1"/>
  <c r="J305" i="3"/>
  <c r="M305" i="3" s="1"/>
  <c r="J306" i="3"/>
  <c r="M306" i="3" s="1"/>
  <c r="J307" i="3"/>
  <c r="M307" i="3" s="1"/>
  <c r="J308" i="3"/>
  <c r="M308" i="3" s="1"/>
  <c r="J309" i="3"/>
  <c r="M309" i="3" s="1"/>
  <c r="J310" i="3"/>
  <c r="M310" i="3" s="1"/>
  <c r="J311" i="3"/>
  <c r="M311" i="3" s="1"/>
  <c r="J312" i="3"/>
  <c r="M312" i="3" s="1"/>
  <c r="J313" i="3"/>
  <c r="M313" i="3" s="1"/>
  <c r="J314" i="3"/>
  <c r="M314" i="3" s="1"/>
  <c r="J315" i="3"/>
  <c r="M315" i="3" s="1"/>
  <c r="J316" i="3"/>
  <c r="M316" i="3" s="1"/>
  <c r="J317" i="3"/>
  <c r="M317" i="3" s="1"/>
  <c r="J318" i="3"/>
  <c r="M318" i="3" s="1"/>
  <c r="J319" i="3"/>
  <c r="M319" i="3" s="1"/>
  <c r="J320" i="3"/>
  <c r="M320" i="3" s="1"/>
  <c r="J321" i="3"/>
  <c r="M321" i="3" s="1"/>
  <c r="J322" i="3"/>
  <c r="M322" i="3" s="1"/>
  <c r="J323" i="3"/>
  <c r="M323" i="3" s="1"/>
  <c r="J324" i="3"/>
  <c r="M324" i="3" s="1"/>
  <c r="J325" i="3"/>
  <c r="M325" i="3" s="1"/>
  <c r="J326" i="3"/>
  <c r="M326" i="3" s="1"/>
  <c r="J327" i="3"/>
  <c r="M327" i="3" s="1"/>
  <c r="J328" i="3"/>
  <c r="M328" i="3" s="1"/>
  <c r="J329" i="3"/>
  <c r="M329" i="3" s="1"/>
  <c r="J330" i="3"/>
  <c r="M330" i="3" s="1"/>
  <c r="J331" i="3"/>
  <c r="M331" i="3" s="1"/>
  <c r="J332" i="3"/>
  <c r="M332" i="3" s="1"/>
  <c r="J333" i="3"/>
  <c r="M333" i="3" s="1"/>
  <c r="J334" i="3"/>
  <c r="M334" i="3" s="1"/>
  <c r="J335" i="3"/>
  <c r="M335" i="3" s="1"/>
  <c r="J336" i="3"/>
  <c r="M336" i="3" s="1"/>
  <c r="J337" i="3"/>
  <c r="M337" i="3" s="1"/>
  <c r="J338" i="3"/>
  <c r="M338" i="3" s="1"/>
  <c r="J339" i="3"/>
  <c r="M339" i="3" s="1"/>
  <c r="J340" i="3"/>
  <c r="M340" i="3" s="1"/>
  <c r="J341" i="3"/>
  <c r="M341" i="3" s="1"/>
  <c r="J342" i="3"/>
  <c r="M342" i="3" s="1"/>
  <c r="J343" i="3"/>
  <c r="M343" i="3" s="1"/>
  <c r="J344" i="3"/>
  <c r="M344" i="3" s="1"/>
  <c r="J345" i="3"/>
  <c r="M345" i="3" s="1"/>
  <c r="J346" i="3"/>
  <c r="M346" i="3" s="1"/>
  <c r="J347" i="3"/>
  <c r="M347" i="3" s="1"/>
  <c r="J348" i="3"/>
  <c r="M348" i="3" s="1"/>
  <c r="J349" i="3"/>
  <c r="M349" i="3" s="1"/>
  <c r="J350" i="3"/>
  <c r="M350" i="3" s="1"/>
  <c r="J351" i="3"/>
  <c r="M351" i="3" s="1"/>
  <c r="J352" i="3"/>
  <c r="M352" i="3" s="1"/>
  <c r="J353" i="3"/>
  <c r="M353" i="3" s="1"/>
  <c r="J354" i="3"/>
  <c r="M354" i="3" s="1"/>
  <c r="J355" i="3"/>
  <c r="M355" i="3" s="1"/>
  <c r="J356" i="3"/>
  <c r="M356" i="3" s="1"/>
  <c r="J357" i="3"/>
  <c r="M357" i="3" s="1"/>
  <c r="J358" i="3"/>
  <c r="M358" i="3" s="1"/>
  <c r="J359" i="3"/>
  <c r="M359" i="3" s="1"/>
  <c r="J360" i="3"/>
  <c r="M360" i="3" s="1"/>
  <c r="J361" i="3"/>
  <c r="M361" i="3" s="1"/>
  <c r="J362" i="3"/>
  <c r="M362" i="3" s="1"/>
  <c r="J363" i="3"/>
  <c r="M363" i="3" s="1"/>
  <c r="J364" i="3"/>
  <c r="M364" i="3" s="1"/>
  <c r="J365" i="3"/>
  <c r="J182" i="3"/>
  <c r="M182" i="3" s="1"/>
  <c r="J172" i="3"/>
  <c r="M172" i="3" s="1"/>
  <c r="J170" i="3"/>
  <c r="M170" i="3" s="1"/>
  <c r="J169" i="3"/>
  <c r="M169" i="3" s="1"/>
  <c r="J168" i="3"/>
  <c r="M168" i="3" s="1"/>
  <c r="J164" i="3"/>
  <c r="M164" i="3" s="1"/>
  <c r="J161" i="3"/>
  <c r="M161" i="3" s="1"/>
  <c r="J159" i="3"/>
  <c r="M159" i="3" s="1"/>
  <c r="J157" i="3"/>
  <c r="M157" i="3" s="1"/>
  <c r="J155" i="3"/>
  <c r="M155" i="3" s="1"/>
  <c r="J153" i="3"/>
  <c r="M153" i="3" s="1"/>
  <c r="J151" i="3"/>
  <c r="M151" i="3" s="1"/>
  <c r="J149" i="3"/>
  <c r="M149" i="3" s="1"/>
  <c r="J145" i="3"/>
  <c r="M145" i="3" s="1"/>
  <c r="J143" i="3"/>
  <c r="M143" i="3" s="1"/>
  <c r="J141" i="3"/>
  <c r="M141" i="3" s="1"/>
  <c r="J139" i="3"/>
  <c r="M139" i="3" s="1"/>
  <c r="J137" i="3"/>
  <c r="M137" i="3" s="1"/>
  <c r="J133" i="3"/>
  <c r="M133" i="3" s="1"/>
  <c r="J130" i="3"/>
  <c r="M130" i="3" s="1"/>
  <c r="J126" i="3"/>
  <c r="M126" i="3" s="1"/>
  <c r="J124" i="3"/>
  <c r="M124" i="3" s="1"/>
  <c r="J122" i="3"/>
  <c r="M122" i="3" s="1"/>
  <c r="J120" i="3"/>
  <c r="M120" i="3" s="1"/>
  <c r="J118" i="3"/>
  <c r="M118" i="3" s="1"/>
  <c r="J116" i="3"/>
  <c r="M116" i="3" s="1"/>
  <c r="J112" i="3"/>
  <c r="M112" i="3" s="1"/>
  <c r="J110" i="3"/>
  <c r="M110" i="3" s="1"/>
  <c r="J108" i="3"/>
  <c r="M108" i="3" s="1"/>
  <c r="J106" i="3"/>
  <c r="M106" i="3" s="1"/>
  <c r="J104" i="3"/>
  <c r="M104" i="3" s="1"/>
  <c r="J102" i="3"/>
  <c r="M102" i="3" s="1"/>
  <c r="J98" i="3"/>
  <c r="M98" i="3" s="1"/>
  <c r="J96" i="3"/>
  <c r="M96" i="3" s="1"/>
  <c r="J94" i="3"/>
  <c r="M94" i="3" s="1"/>
  <c r="J90" i="3"/>
  <c r="M90" i="3" s="1"/>
  <c r="J88" i="3"/>
  <c r="M88" i="3" s="1"/>
  <c r="J86" i="3"/>
  <c r="M86" i="3" s="1"/>
  <c r="J84" i="3"/>
  <c r="M84" i="3" s="1"/>
  <c r="J82" i="3"/>
  <c r="M82" i="3" s="1"/>
  <c r="J80" i="3"/>
  <c r="M80" i="3" s="1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77" i="3"/>
  <c r="E54" i="3" l="1"/>
  <c r="E42" i="3"/>
  <c r="E34" i="3"/>
  <c r="E55" i="3"/>
  <c r="E51" i="3"/>
  <c r="E45" i="3"/>
  <c r="E50" i="3"/>
  <c r="E56" i="3"/>
  <c r="E52" i="3"/>
  <c r="E47" i="3"/>
  <c r="E46" i="3"/>
  <c r="E44" i="3"/>
  <c r="E57" i="3"/>
  <c r="E53" i="3"/>
  <c r="C65" i="3"/>
  <c r="E65" i="3" s="1"/>
  <c r="C48" i="3"/>
  <c r="E48" i="3" s="1"/>
  <c r="D43" i="3"/>
  <c r="D59" i="3"/>
  <c r="D49" i="3"/>
  <c r="D38" i="3"/>
  <c r="D60" i="3" s="1"/>
  <c r="D62" i="3"/>
  <c r="D61" i="3"/>
  <c r="D63" i="3"/>
  <c r="C59" i="3"/>
  <c r="C49" i="3"/>
  <c r="C38" i="3"/>
  <c r="C62" i="3"/>
  <c r="C61" i="3"/>
  <c r="C63" i="3"/>
  <c r="D39" i="3"/>
  <c r="C43" i="3"/>
  <c r="D41" i="3"/>
  <c r="D64" i="3" s="1"/>
  <c r="C39" i="3"/>
  <c r="C41" i="3"/>
  <c r="G208" i="3"/>
  <c r="D31" i="3" s="1"/>
  <c r="D27" i="3"/>
  <c r="D37" i="3"/>
  <c r="C27" i="3"/>
  <c r="C37" i="3"/>
  <c r="D30" i="3"/>
  <c r="D33" i="3"/>
  <c r="D32" i="3" s="1"/>
  <c r="D29" i="3"/>
  <c r="D26" i="3"/>
  <c r="C25" i="3"/>
  <c r="C24" i="3"/>
  <c r="C21" i="3"/>
  <c r="C20" i="3"/>
  <c r="C22" i="3"/>
  <c r="C19" i="3"/>
  <c r="C33" i="3"/>
  <c r="C30" i="3"/>
  <c r="C29" i="3"/>
  <c r="C26" i="3"/>
  <c r="F208" i="3"/>
  <c r="C31" i="3" s="1"/>
  <c r="E208" i="3"/>
  <c r="D25" i="3"/>
  <c r="D24" i="3"/>
  <c r="D21" i="3"/>
  <c r="D20" i="3"/>
  <c r="D22" i="3"/>
  <c r="D19" i="3"/>
  <c r="B3" i="3"/>
  <c r="E31" i="3" l="1"/>
  <c r="E26" i="3"/>
  <c r="E63" i="3"/>
  <c r="E21" i="3"/>
  <c r="C60" i="3"/>
  <c r="E60" i="3" s="1"/>
  <c r="E38" i="3"/>
  <c r="E39" i="3"/>
  <c r="E22" i="3"/>
  <c r="E25" i="3"/>
  <c r="E61" i="3"/>
  <c r="E30" i="3"/>
  <c r="E20" i="3"/>
  <c r="E43" i="3"/>
  <c r="E62" i="3"/>
  <c r="C32" i="3"/>
  <c r="E32" i="3" s="1"/>
  <c r="E33" i="3"/>
  <c r="C64" i="3"/>
  <c r="E64" i="3" s="1"/>
  <c r="E41" i="3"/>
  <c r="E19" i="3"/>
  <c r="E24" i="3"/>
  <c r="E29" i="3"/>
  <c r="D28" i="3"/>
  <c r="D23" i="3"/>
  <c r="D18" i="3"/>
  <c r="C28" i="3"/>
  <c r="C18" i="3"/>
  <c r="C23" i="3"/>
  <c r="E23" i="3" s="1"/>
  <c r="K94" i="3"/>
  <c r="N94" i="3" s="1"/>
  <c r="K95" i="3"/>
  <c r="N95" i="3" s="1"/>
  <c r="K96" i="3"/>
  <c r="N96" i="3" s="1"/>
  <c r="K97" i="3"/>
  <c r="N97" i="3" s="1"/>
  <c r="K98" i="3"/>
  <c r="N98" i="3" s="1"/>
  <c r="K99" i="3"/>
  <c r="N99" i="3" s="1"/>
  <c r="K102" i="3"/>
  <c r="N102" i="3" s="1"/>
  <c r="K103" i="3"/>
  <c r="N103" i="3" s="1"/>
  <c r="K104" i="3"/>
  <c r="N104" i="3" s="1"/>
  <c r="K105" i="3"/>
  <c r="N105" i="3" s="1"/>
  <c r="K106" i="3"/>
  <c r="N106" i="3" s="1"/>
  <c r="K107" i="3"/>
  <c r="N107" i="3" s="1"/>
  <c r="K108" i="3"/>
  <c r="N108" i="3" s="1"/>
  <c r="K109" i="3"/>
  <c r="N109" i="3" s="1"/>
  <c r="K110" i="3"/>
  <c r="N110" i="3" s="1"/>
  <c r="K111" i="3"/>
  <c r="N111" i="3" s="1"/>
  <c r="K112" i="3"/>
  <c r="N112" i="3" s="1"/>
  <c r="K113" i="3"/>
  <c r="N113" i="3" s="1"/>
  <c r="K116" i="3"/>
  <c r="N116" i="3" s="1"/>
  <c r="K117" i="3"/>
  <c r="N117" i="3" s="1"/>
  <c r="K118" i="3"/>
  <c r="N118" i="3" s="1"/>
  <c r="K119" i="3"/>
  <c r="N119" i="3" s="1"/>
  <c r="K120" i="3"/>
  <c r="N120" i="3" s="1"/>
  <c r="K121" i="3"/>
  <c r="N121" i="3" s="1"/>
  <c r="K122" i="3"/>
  <c r="N122" i="3" s="1"/>
  <c r="K123" i="3"/>
  <c r="N123" i="3" s="1"/>
  <c r="K124" i="3"/>
  <c r="N124" i="3" s="1"/>
  <c r="K125" i="3"/>
  <c r="N125" i="3" s="1"/>
  <c r="K126" i="3"/>
  <c r="N126" i="3" s="1"/>
  <c r="K127" i="3"/>
  <c r="N127" i="3" s="1"/>
  <c r="K130" i="3"/>
  <c r="N130" i="3" s="1"/>
  <c r="K131" i="3"/>
  <c r="N131" i="3" s="1"/>
  <c r="K133" i="3"/>
  <c r="N133" i="3" s="1"/>
  <c r="K134" i="3"/>
  <c r="N134" i="3" s="1"/>
  <c r="K137" i="3"/>
  <c r="N137" i="3" s="1"/>
  <c r="K138" i="3"/>
  <c r="N138" i="3" s="1"/>
  <c r="K139" i="3"/>
  <c r="N139" i="3" s="1"/>
  <c r="K140" i="3"/>
  <c r="N140" i="3" s="1"/>
  <c r="K141" i="3"/>
  <c r="N141" i="3" s="1"/>
  <c r="K142" i="3"/>
  <c r="N142" i="3" s="1"/>
  <c r="K143" i="3"/>
  <c r="N143" i="3" s="1"/>
  <c r="K144" i="3"/>
  <c r="N144" i="3" s="1"/>
  <c r="K145" i="3"/>
  <c r="N145" i="3" s="1"/>
  <c r="K146" i="3"/>
  <c r="N146" i="3" s="1"/>
  <c r="K149" i="3"/>
  <c r="N149" i="3" s="1"/>
  <c r="K150" i="3"/>
  <c r="N150" i="3" s="1"/>
  <c r="K151" i="3"/>
  <c r="N151" i="3" s="1"/>
  <c r="K152" i="3"/>
  <c r="N152" i="3" s="1"/>
  <c r="K153" i="3"/>
  <c r="N153" i="3" s="1"/>
  <c r="K154" i="3"/>
  <c r="N154" i="3" s="1"/>
  <c r="K155" i="3"/>
  <c r="N155" i="3" s="1"/>
  <c r="K156" i="3"/>
  <c r="N156" i="3" s="1"/>
  <c r="K157" i="3"/>
  <c r="N157" i="3" s="1"/>
  <c r="K158" i="3"/>
  <c r="N158" i="3" s="1"/>
  <c r="K159" i="3"/>
  <c r="N159" i="3" s="1"/>
  <c r="K160" i="3"/>
  <c r="N160" i="3" s="1"/>
  <c r="K161" i="3"/>
  <c r="N161" i="3" s="1"/>
  <c r="K162" i="3"/>
  <c r="N162" i="3" s="1"/>
  <c r="K164" i="3"/>
  <c r="N164" i="3" s="1"/>
  <c r="K165" i="3"/>
  <c r="N165" i="3" s="1"/>
  <c r="K168" i="3"/>
  <c r="N168" i="3" s="1"/>
  <c r="K169" i="3"/>
  <c r="N169" i="3" s="1"/>
  <c r="K170" i="3"/>
  <c r="N170" i="3" s="1"/>
  <c r="K172" i="3"/>
  <c r="N172" i="3" s="1"/>
  <c r="K173" i="3"/>
  <c r="N173" i="3" s="1"/>
  <c r="K174" i="3"/>
  <c r="N174" i="3" s="1"/>
  <c r="K175" i="3"/>
  <c r="N175" i="3" s="1"/>
  <c r="K181" i="3"/>
  <c r="N181" i="3" s="1"/>
  <c r="K182" i="3"/>
  <c r="N182" i="3" s="1"/>
  <c r="K183" i="3"/>
  <c r="N183" i="3" s="1"/>
  <c r="K184" i="3"/>
  <c r="N184" i="3" s="1"/>
  <c r="K185" i="3"/>
  <c r="N185" i="3" s="1"/>
  <c r="K186" i="3"/>
  <c r="N186" i="3" s="1"/>
  <c r="K187" i="3"/>
  <c r="N187" i="3" s="1"/>
  <c r="K188" i="3"/>
  <c r="N188" i="3" s="1"/>
  <c r="K189" i="3"/>
  <c r="N189" i="3" s="1"/>
  <c r="K190" i="3"/>
  <c r="N190" i="3" s="1"/>
  <c r="K191" i="3"/>
  <c r="N191" i="3" s="1"/>
  <c r="K192" i="3"/>
  <c r="N192" i="3" s="1"/>
  <c r="K193" i="3"/>
  <c r="N193" i="3" s="1"/>
  <c r="K194" i="3"/>
  <c r="N194" i="3" s="1"/>
  <c r="K196" i="3"/>
  <c r="N196" i="3" s="1"/>
  <c r="K198" i="3"/>
  <c r="N198" i="3" s="1"/>
  <c r="K199" i="3"/>
  <c r="N199" i="3" s="1"/>
  <c r="K200" i="3"/>
  <c r="N200" i="3" s="1"/>
  <c r="K202" i="3"/>
  <c r="N202" i="3" s="1"/>
  <c r="K205" i="3"/>
  <c r="N205" i="3" s="1"/>
  <c r="K206" i="3"/>
  <c r="N206" i="3" s="1"/>
  <c r="K207" i="3"/>
  <c r="N207" i="3" s="1"/>
  <c r="K208" i="3"/>
  <c r="N208" i="3" s="1"/>
  <c r="K209" i="3"/>
  <c r="N209" i="3" s="1"/>
  <c r="K210" i="3"/>
  <c r="N210" i="3" s="1"/>
  <c r="K212" i="3"/>
  <c r="N212" i="3" s="1"/>
  <c r="K213" i="3"/>
  <c r="N213" i="3" s="1"/>
  <c r="K215" i="3"/>
  <c r="N215" i="3" s="1"/>
  <c r="K220" i="3"/>
  <c r="N220" i="3" s="1"/>
  <c r="K221" i="3"/>
  <c r="N221" i="3" s="1"/>
  <c r="K222" i="3"/>
  <c r="N222" i="3" s="1"/>
  <c r="K223" i="3"/>
  <c r="N223" i="3" s="1"/>
  <c r="K226" i="3"/>
  <c r="N226" i="3" s="1"/>
  <c r="K227" i="3"/>
  <c r="N227" i="3" s="1"/>
  <c r="K228" i="3"/>
  <c r="N228" i="3" s="1"/>
  <c r="K229" i="3"/>
  <c r="N229" i="3" s="1"/>
  <c r="K230" i="3"/>
  <c r="N230" i="3" s="1"/>
  <c r="K231" i="3"/>
  <c r="N231" i="3" s="1"/>
  <c r="K233" i="3"/>
  <c r="N233" i="3" s="1"/>
  <c r="K235" i="3"/>
  <c r="N235" i="3" s="1"/>
  <c r="K237" i="3"/>
  <c r="N237" i="3" s="1"/>
  <c r="K242" i="3"/>
  <c r="N242" i="3" s="1"/>
  <c r="K243" i="3"/>
  <c r="N243" i="3" s="1"/>
  <c r="K244" i="3"/>
  <c r="N244" i="3" s="1"/>
  <c r="K245" i="3"/>
  <c r="N245" i="3" s="1"/>
  <c r="K246" i="3"/>
  <c r="N246" i="3" s="1"/>
  <c r="K247" i="3"/>
  <c r="N247" i="3" s="1"/>
  <c r="K248" i="3"/>
  <c r="N248" i="3" s="1"/>
  <c r="K249" i="3"/>
  <c r="N249" i="3" s="1"/>
  <c r="K250" i="3"/>
  <c r="N250" i="3" s="1"/>
  <c r="K257" i="3"/>
  <c r="N257" i="3" s="1"/>
  <c r="K258" i="3"/>
  <c r="N258" i="3" s="1"/>
  <c r="K261" i="3"/>
  <c r="N261" i="3" s="1"/>
  <c r="K262" i="3"/>
  <c r="N262" i="3" s="1"/>
  <c r="K263" i="3"/>
  <c r="N263" i="3" s="1"/>
  <c r="K264" i="3"/>
  <c r="N264" i="3" s="1"/>
  <c r="K265" i="3"/>
  <c r="N265" i="3" s="1"/>
  <c r="K266" i="3"/>
  <c r="N266" i="3" s="1"/>
  <c r="K267" i="3"/>
  <c r="N267" i="3" s="1"/>
  <c r="K268" i="3"/>
  <c r="N268" i="3" s="1"/>
  <c r="K269" i="3"/>
  <c r="N269" i="3" s="1"/>
  <c r="K270" i="3"/>
  <c r="N270" i="3" s="1"/>
  <c r="K271" i="3"/>
  <c r="N271" i="3" s="1"/>
  <c r="K272" i="3"/>
  <c r="N272" i="3" s="1"/>
  <c r="K274" i="3"/>
  <c r="N274" i="3" s="1"/>
  <c r="K275" i="3"/>
  <c r="N275" i="3" s="1"/>
  <c r="K276" i="3"/>
  <c r="N276" i="3" s="1"/>
  <c r="K277" i="3"/>
  <c r="N277" i="3" s="1"/>
  <c r="K278" i="3"/>
  <c r="N278" i="3" s="1"/>
  <c r="K280" i="3"/>
  <c r="N280" i="3" s="1"/>
  <c r="K283" i="3"/>
  <c r="N283" i="3" s="1"/>
  <c r="K284" i="3"/>
  <c r="N284" i="3" s="1"/>
  <c r="K285" i="3"/>
  <c r="N285" i="3" s="1"/>
  <c r="K286" i="3"/>
  <c r="N286" i="3" s="1"/>
  <c r="K287" i="3"/>
  <c r="N287" i="3" s="1"/>
  <c r="K288" i="3"/>
  <c r="N288" i="3" s="1"/>
  <c r="K291" i="3"/>
  <c r="N291" i="3" s="1"/>
  <c r="K292" i="3"/>
  <c r="N292" i="3" s="1"/>
  <c r="K295" i="3"/>
  <c r="N295" i="3" s="1"/>
  <c r="K296" i="3"/>
  <c r="N296" i="3" s="1"/>
  <c r="K297" i="3"/>
  <c r="N297" i="3" s="1"/>
  <c r="K298" i="3"/>
  <c r="N298" i="3" s="1"/>
  <c r="K299" i="3"/>
  <c r="N299" i="3" s="1"/>
  <c r="K301" i="3"/>
  <c r="N301" i="3" s="1"/>
  <c r="K302" i="3"/>
  <c r="N302" i="3" s="1"/>
  <c r="K304" i="3"/>
  <c r="N304" i="3" s="1"/>
  <c r="K308" i="3"/>
  <c r="N308" i="3" s="1"/>
  <c r="K309" i="3"/>
  <c r="N309" i="3" s="1"/>
  <c r="K310" i="3"/>
  <c r="N310" i="3" s="1"/>
  <c r="K311" i="3"/>
  <c r="N311" i="3" s="1"/>
  <c r="K312" i="3"/>
  <c r="N312" i="3" s="1"/>
  <c r="K313" i="3"/>
  <c r="N313" i="3" s="1"/>
  <c r="K314" i="3"/>
  <c r="N314" i="3" s="1"/>
  <c r="K315" i="3"/>
  <c r="N315" i="3" s="1"/>
  <c r="K317" i="3"/>
  <c r="N317" i="3" s="1"/>
  <c r="K320" i="3"/>
  <c r="N320" i="3" s="1"/>
  <c r="K321" i="3"/>
  <c r="N321" i="3" s="1"/>
  <c r="K322" i="3"/>
  <c r="N322" i="3" s="1"/>
  <c r="K323" i="3"/>
  <c r="N323" i="3" s="1"/>
  <c r="K325" i="3"/>
  <c r="N325" i="3" s="1"/>
  <c r="K328" i="3"/>
  <c r="N328" i="3" s="1"/>
  <c r="K332" i="3"/>
  <c r="N332" i="3" s="1"/>
  <c r="K333" i="3"/>
  <c r="N333" i="3" s="1"/>
  <c r="K334" i="3"/>
  <c r="N334" i="3" s="1"/>
  <c r="K336" i="3"/>
  <c r="N336" i="3" s="1"/>
  <c r="K339" i="3"/>
  <c r="N339" i="3" s="1"/>
  <c r="K340" i="3"/>
  <c r="N340" i="3" s="1"/>
  <c r="K341" i="3"/>
  <c r="N341" i="3" s="1"/>
  <c r="K343" i="3"/>
  <c r="N343" i="3" s="1"/>
  <c r="K345" i="3"/>
  <c r="N345" i="3" s="1"/>
  <c r="K348" i="3"/>
  <c r="N348" i="3" s="1"/>
  <c r="K349" i="3"/>
  <c r="N349" i="3" s="1"/>
  <c r="K353" i="3"/>
  <c r="N353" i="3" s="1"/>
  <c r="K354" i="3"/>
  <c r="N354" i="3" s="1"/>
  <c r="K355" i="3"/>
  <c r="N355" i="3" s="1"/>
  <c r="K356" i="3"/>
  <c r="N356" i="3" s="1"/>
  <c r="K357" i="3"/>
  <c r="N357" i="3" s="1"/>
  <c r="K358" i="3"/>
  <c r="N358" i="3" s="1"/>
  <c r="K359" i="3"/>
  <c r="N359" i="3" s="1"/>
  <c r="K360" i="3"/>
  <c r="N360" i="3" s="1"/>
  <c r="K363" i="3"/>
  <c r="N363" i="3" s="1"/>
  <c r="K364" i="3"/>
  <c r="N364" i="3" s="1"/>
  <c r="K80" i="3"/>
  <c r="N80" i="3" s="1"/>
  <c r="K82" i="3"/>
  <c r="N82" i="3" s="1"/>
  <c r="K84" i="3"/>
  <c r="N84" i="3" s="1"/>
  <c r="K85" i="3"/>
  <c r="N85" i="3" s="1"/>
  <c r="K86" i="3"/>
  <c r="N86" i="3" s="1"/>
  <c r="K87" i="3"/>
  <c r="N87" i="3" s="1"/>
  <c r="K88" i="3"/>
  <c r="N88" i="3" s="1"/>
  <c r="K89" i="3"/>
  <c r="N89" i="3" s="1"/>
  <c r="K90" i="3"/>
  <c r="N90" i="3" s="1"/>
  <c r="K91" i="3"/>
  <c r="N91" i="3" s="1"/>
  <c r="K77" i="3"/>
  <c r="N77" i="3" s="1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2" i="8"/>
  <c r="E18" i="3" l="1"/>
  <c r="E28" i="3"/>
  <c r="P78" i="3"/>
  <c r="P73" i="3"/>
  <c r="P72" i="3"/>
  <c r="P71" i="3"/>
  <c r="P7" i="3"/>
  <c r="P8" i="3"/>
  <c r="F73" i="3" l="1"/>
  <c r="B258" i="3"/>
  <c r="P176" i="3" l="1"/>
  <c r="P135" i="3"/>
  <c r="P171" i="3"/>
  <c r="P3" i="3" l="1"/>
  <c r="P2" i="3"/>
  <c r="P1" i="3"/>
  <c r="P358" i="3"/>
  <c r="P357" i="3"/>
  <c r="P346" i="3"/>
  <c r="P345" i="3"/>
  <c r="P344" i="3"/>
  <c r="P347" i="3"/>
  <c r="P348" i="3"/>
  <c r="O446" i="3"/>
  <c r="O447" i="3"/>
  <c r="O448" i="3"/>
  <c r="O449" i="3"/>
  <c r="O450" i="3"/>
  <c r="O451" i="3"/>
  <c r="O452" i="3"/>
  <c r="O453" i="3"/>
  <c r="O454" i="3"/>
  <c r="O455" i="3"/>
  <c r="O456" i="3"/>
  <c r="O457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5" i="3"/>
  <c r="O476" i="3"/>
  <c r="O477" i="3"/>
  <c r="O478" i="3"/>
  <c r="O479" i="3"/>
  <c r="O480" i="3"/>
  <c r="O481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4" i="3"/>
  <c r="O495" i="3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405" i="7"/>
  <c r="H406" i="7"/>
  <c r="H407" i="7"/>
  <c r="H408" i="7"/>
  <c r="H409" i="7"/>
  <c r="H410" i="7"/>
  <c r="H411" i="7"/>
  <c r="H412" i="7"/>
  <c r="H413" i="7"/>
  <c r="H414" i="7"/>
  <c r="H415" i="7"/>
  <c r="H416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G73" i="3" l="1"/>
  <c r="E73" i="3"/>
  <c r="B257" i="3"/>
  <c r="P478" i="3"/>
  <c r="P477" i="3"/>
  <c r="P476" i="3"/>
  <c r="P475" i="3"/>
  <c r="P474" i="3"/>
  <c r="P473" i="3"/>
  <c r="P472" i="3"/>
  <c r="P471" i="3"/>
  <c r="P470" i="3"/>
  <c r="P469" i="3"/>
  <c r="P468" i="3"/>
  <c r="P467" i="3"/>
  <c r="P466" i="3"/>
  <c r="P465" i="3"/>
  <c r="P464" i="3"/>
  <c r="P463" i="3"/>
  <c r="P462" i="3"/>
  <c r="P461" i="3"/>
  <c r="P460" i="3"/>
  <c r="P459" i="3"/>
  <c r="P458" i="3"/>
  <c r="P457" i="3"/>
  <c r="P456" i="3"/>
  <c r="P455" i="3"/>
  <c r="P454" i="3"/>
  <c r="P453" i="3"/>
  <c r="P452" i="3"/>
  <c r="P451" i="3"/>
  <c r="P450" i="3"/>
  <c r="P449" i="3"/>
  <c r="P448" i="3"/>
  <c r="P447" i="3"/>
  <c r="P446" i="3"/>
  <c r="P445" i="3"/>
  <c r="P444" i="3"/>
  <c r="P443" i="3"/>
  <c r="P442" i="3"/>
  <c r="P441" i="3"/>
  <c r="P440" i="3"/>
  <c r="P439" i="3"/>
  <c r="P438" i="3"/>
  <c r="P437" i="3"/>
  <c r="P436" i="3"/>
  <c r="P435" i="3"/>
  <c r="P434" i="3"/>
  <c r="P433" i="3"/>
  <c r="P432" i="3"/>
  <c r="P431" i="3"/>
  <c r="P430" i="3"/>
  <c r="P429" i="3"/>
  <c r="P428" i="3"/>
  <c r="P427" i="3"/>
  <c r="P426" i="3"/>
  <c r="P425" i="3"/>
  <c r="P424" i="3"/>
  <c r="P423" i="3"/>
  <c r="P422" i="3"/>
  <c r="P421" i="3"/>
  <c r="P420" i="3"/>
  <c r="P419" i="3"/>
  <c r="P418" i="3"/>
  <c r="P417" i="3"/>
  <c r="P416" i="3"/>
  <c r="P415" i="3"/>
  <c r="P414" i="3"/>
  <c r="P413" i="3"/>
  <c r="P412" i="3"/>
  <c r="P411" i="3"/>
  <c r="P410" i="3"/>
  <c r="P409" i="3"/>
  <c r="P408" i="3"/>
  <c r="P407" i="3"/>
  <c r="P406" i="3"/>
  <c r="P405" i="3"/>
  <c r="P404" i="3"/>
  <c r="P403" i="3"/>
  <c r="P402" i="3"/>
  <c r="P401" i="3"/>
  <c r="P400" i="3"/>
  <c r="P399" i="3"/>
  <c r="P398" i="3"/>
  <c r="P397" i="3"/>
  <c r="P396" i="3"/>
  <c r="P395" i="3"/>
  <c r="P394" i="3"/>
  <c r="P393" i="3"/>
  <c r="P392" i="3"/>
  <c r="P391" i="3"/>
  <c r="P390" i="3"/>
  <c r="P389" i="3"/>
  <c r="P388" i="3"/>
  <c r="P387" i="3"/>
  <c r="P386" i="3"/>
  <c r="P385" i="3"/>
  <c r="P384" i="3"/>
  <c r="P383" i="3"/>
  <c r="P382" i="3"/>
  <c r="P381" i="3"/>
  <c r="P380" i="3"/>
  <c r="P379" i="3"/>
  <c r="P378" i="3"/>
  <c r="P377" i="3"/>
  <c r="P376" i="3"/>
  <c r="P375" i="3"/>
  <c r="P374" i="3"/>
  <c r="P373" i="3"/>
  <c r="P372" i="3"/>
  <c r="P371" i="3"/>
  <c r="P370" i="3"/>
  <c r="P369" i="3"/>
  <c r="P368" i="3"/>
  <c r="P367" i="3"/>
  <c r="P366" i="3"/>
  <c r="P365" i="3"/>
  <c r="P364" i="3"/>
  <c r="P363" i="3"/>
  <c r="P362" i="3"/>
  <c r="P361" i="3"/>
  <c r="P360" i="3"/>
  <c r="P359" i="3"/>
  <c r="P356" i="3"/>
  <c r="P355" i="3"/>
  <c r="P354" i="3"/>
  <c r="P353" i="3"/>
  <c r="P352" i="3"/>
  <c r="P351" i="3"/>
  <c r="P350" i="3"/>
  <c r="P349" i="3"/>
  <c r="P343" i="3"/>
  <c r="P342" i="3"/>
  <c r="P341" i="3"/>
  <c r="P340" i="3"/>
  <c r="P339" i="3"/>
  <c r="P338" i="3"/>
  <c r="P337" i="3"/>
  <c r="P336" i="3"/>
  <c r="P335" i="3"/>
  <c r="P334" i="3"/>
  <c r="P333" i="3"/>
  <c r="P332" i="3"/>
  <c r="P331" i="3"/>
  <c r="P330" i="3"/>
  <c r="P329" i="3"/>
  <c r="P328" i="3"/>
  <c r="P327" i="3"/>
  <c r="P326" i="3"/>
  <c r="P325" i="3"/>
  <c r="P324" i="3"/>
  <c r="P323" i="3"/>
  <c r="P322" i="3"/>
  <c r="P321" i="3"/>
  <c r="P320" i="3"/>
  <c r="P319" i="3"/>
  <c r="P318" i="3"/>
  <c r="P317" i="3"/>
  <c r="P316" i="3"/>
  <c r="P315" i="3"/>
  <c r="P314" i="3"/>
  <c r="P313" i="3"/>
  <c r="P312" i="3"/>
  <c r="P311" i="3"/>
  <c r="P310" i="3"/>
  <c r="P309" i="3"/>
  <c r="P308" i="3"/>
  <c r="P307" i="3"/>
  <c r="P306" i="3"/>
  <c r="P305" i="3"/>
  <c r="P304" i="3"/>
  <c r="P303" i="3"/>
  <c r="P302" i="3"/>
  <c r="P301" i="3"/>
  <c r="P300" i="3"/>
  <c r="P299" i="3"/>
  <c r="P298" i="3"/>
  <c r="P297" i="3"/>
  <c r="P296" i="3"/>
  <c r="P295" i="3"/>
  <c r="P294" i="3"/>
  <c r="P293" i="3"/>
  <c r="P292" i="3"/>
  <c r="P291" i="3"/>
  <c r="P290" i="3"/>
  <c r="P289" i="3"/>
  <c r="P288" i="3"/>
  <c r="P287" i="3"/>
  <c r="P286" i="3"/>
  <c r="P285" i="3"/>
  <c r="P284" i="3"/>
  <c r="P283" i="3"/>
  <c r="P282" i="3"/>
  <c r="P281" i="3"/>
  <c r="P280" i="3"/>
  <c r="P279" i="3"/>
  <c r="P278" i="3"/>
  <c r="P277" i="3"/>
  <c r="P276" i="3"/>
  <c r="P275" i="3"/>
  <c r="P274" i="3"/>
  <c r="P273" i="3"/>
  <c r="P272" i="3"/>
  <c r="P271" i="3"/>
  <c r="P270" i="3"/>
  <c r="P269" i="3"/>
  <c r="P268" i="3"/>
  <c r="P267" i="3"/>
  <c r="P242" i="3"/>
  <c r="P241" i="3"/>
  <c r="P240" i="3"/>
  <c r="P239" i="3"/>
  <c r="P238" i="3"/>
  <c r="P237" i="3"/>
  <c r="P236" i="3"/>
  <c r="P235" i="3"/>
  <c r="P234" i="3"/>
  <c r="P233" i="3"/>
  <c r="P232" i="3"/>
  <c r="P231" i="3"/>
  <c r="P230" i="3"/>
  <c r="P229" i="3"/>
  <c r="P228" i="3"/>
  <c r="P227" i="3"/>
  <c r="P226" i="3"/>
  <c r="P225" i="3"/>
  <c r="P224" i="3"/>
  <c r="P223" i="3"/>
  <c r="P222" i="3"/>
  <c r="P221" i="3"/>
  <c r="P220" i="3"/>
  <c r="P219" i="3"/>
  <c r="P218" i="3"/>
  <c r="P217" i="3"/>
  <c r="P216" i="3"/>
  <c r="P215" i="3"/>
  <c r="P214" i="3"/>
  <c r="P213" i="3"/>
  <c r="P212" i="3"/>
  <c r="P211" i="3"/>
  <c r="P210" i="3"/>
  <c r="P209" i="3"/>
  <c r="P208" i="3"/>
  <c r="P207" i="3"/>
  <c r="P206" i="3"/>
  <c r="P205" i="3"/>
  <c r="P204" i="3"/>
  <c r="P203" i="3"/>
  <c r="P202" i="3"/>
  <c r="P201" i="3"/>
  <c r="P200" i="3"/>
  <c r="P199" i="3"/>
  <c r="P198" i="3"/>
  <c r="P197" i="3"/>
  <c r="P196" i="3"/>
  <c r="P195" i="3"/>
  <c r="P194" i="3"/>
  <c r="P193" i="3"/>
  <c r="P192" i="3"/>
  <c r="P191" i="3"/>
  <c r="P190" i="3"/>
  <c r="P189" i="3"/>
  <c r="P188" i="3"/>
  <c r="P187" i="3"/>
  <c r="P186" i="3"/>
  <c r="P185" i="3"/>
  <c r="P184" i="3"/>
  <c r="P183" i="3"/>
  <c r="P182" i="3"/>
  <c r="P181" i="3"/>
  <c r="P178" i="3"/>
  <c r="P177" i="3"/>
  <c r="P175" i="3"/>
  <c r="P174" i="3"/>
  <c r="P173" i="3"/>
  <c r="P172" i="3"/>
  <c r="P170" i="3"/>
  <c r="P169" i="3"/>
  <c r="P168" i="3"/>
  <c r="P167" i="3"/>
  <c r="P166" i="3"/>
  <c r="P165" i="3"/>
  <c r="P164" i="3"/>
  <c r="P163" i="3"/>
  <c r="P162" i="3"/>
  <c r="P161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3" i="3"/>
  <c r="P142" i="3"/>
  <c r="P141" i="3"/>
  <c r="P140" i="3"/>
  <c r="P139" i="3"/>
  <c r="P138" i="3"/>
  <c r="P137" i="3"/>
  <c r="P136" i="3"/>
  <c r="P134" i="3"/>
  <c r="P133" i="3"/>
  <c r="P132" i="3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7" i="3"/>
  <c r="P76" i="3"/>
  <c r="P75" i="3"/>
  <c r="P74" i="3"/>
  <c r="P70" i="3"/>
  <c r="P9" i="3"/>
  <c r="P6" i="3"/>
  <c r="H3" i="7" l="1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2" i="7"/>
  <c r="H1" i="7"/>
  <c r="O6" i="3"/>
  <c r="O7" i="3"/>
  <c r="E2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1" i="7"/>
  <c r="P159" i="3" l="1"/>
  <c r="P158" i="3"/>
  <c r="P160" i="3"/>
</calcChain>
</file>

<file path=xl/sharedStrings.xml><?xml version="1.0" encoding="utf-8"?>
<sst xmlns="http://schemas.openxmlformats.org/spreadsheetml/2006/main" count="11484" uniqueCount="3498">
  <si>
    <t>siren</t>
  </si>
  <si>
    <t>Activité</t>
  </si>
  <si>
    <t>Objet:</t>
  </si>
  <si>
    <t>Date:</t>
  </si>
  <si>
    <t>Version:</t>
  </si>
  <si>
    <t>De:</t>
  </si>
  <si>
    <t>Remarques:</t>
  </si>
  <si>
    <t>N</t>
  </si>
  <si>
    <t>Adresse</t>
  </si>
  <si>
    <t>6 - Historique des versions</t>
  </si>
  <si>
    <t>V1.1</t>
  </si>
  <si>
    <t>Première version livrée</t>
  </si>
  <si>
    <t>Frédéric Paresy; Altares</t>
  </si>
  <si>
    <t>Nom Colonne</t>
  </si>
  <si>
    <t>Valeur Colonne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</si>
  <si>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</si>
  <si>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</si>
  <si>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</si>
  <si>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</si>
  <si>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</si>
  <si>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</si>
  <si>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</si>
  <si>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</si>
  <si>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</si>
  <si>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</si>
  <si>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</si>
  <si>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</si>
  <si>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</si>
  <si>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</si>
  <si>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</si>
  <si>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</si>
  <si>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</si>
  <si>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</si>
  <si>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</si>
  <si>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</si>
  <si>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</si>
  <si>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</si>
  <si>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</si>
  <si>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</si>
  <si>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</si>
  <si>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Liste!</t>
  </si>
  <si>
    <t>INDEX(Liste;$E$2;</t>
  </si>
  <si>
    <t>Maj:</t>
  </si>
  <si>
    <t>Vous pouvez trier cette liste comme bon vous semble: cela ajustera la listbox en haut de page de l'onglet "Fiche"</t>
  </si>
  <si>
    <t>Le tri effectué permet d'ordonner les entreprises de la listbox de l'onglet "vue".</t>
  </si>
  <si>
    <t>Le filtre ne permet pas de filtrer les entreprises de la listbox</t>
  </si>
  <si>
    <t>Allez sur l'onglet "vue", sélectionner l'élément dans la listbox</t>
  </si>
  <si>
    <t>Cela affiche toutes les données entreprises dont vous avez besoin</t>
  </si>
  <si>
    <t>Les entreprises sont listées par l'ordre effectué dans l'onglet "Liste"</t>
  </si>
  <si>
    <t>Enfin, ne marquez rien sur cette vue! C'est une vue dynamique de l'onglet 'liste'; la fiche est pour cela bloquée</t>
  </si>
  <si>
    <t>Vue que l'onglet Fiche n'est qu'une vue dynamique de la liste, vous POUVEZ:</t>
  </si>
  <si>
    <t>Sur onglet "Fiche", faites "clic-droit &gt; Déplacer ou Copier"</t>
  </si>
  <si>
    <t>Sélectionner en dernier</t>
  </si>
  <si>
    <t>Cocher "créer une copie"</t>
  </si>
  <si>
    <t>Dites OK</t>
  </si>
  <si>
    <t>Cela créée alors un onglet "Fiche(2)"</t>
  </si>
  <si>
    <t>Cet onglet est tout autant dynamique: il faut faire une copie de valeur</t>
  </si>
  <si>
    <t>Cliquer sur l'icone          en haut à gauche pour tout sélectionner</t>
  </si>
  <si>
    <t>Faites [Ctrl+A] pour tout sélectionner</t>
  </si>
  <si>
    <t>Faites clic-droit pour copier les valeurs: sélectionner l'icone</t>
  </si>
  <si>
    <t>Et penser à renommer l'onglet comme il faut!</t>
  </si>
  <si>
    <t>N°RCS</t>
  </si>
  <si>
    <t>Tribunal de commerce</t>
  </si>
  <si>
    <t>Etat saisie</t>
  </si>
  <si>
    <t>Motif de non-saisie</t>
  </si>
  <si>
    <t>Intitule NAF</t>
  </si>
  <si>
    <t>code_activite</t>
  </si>
  <si>
    <t>Confidentialité</t>
  </si>
  <si>
    <t>Code devise</t>
  </si>
  <si>
    <t>code_greffe</t>
  </si>
  <si>
    <t>code_motif</t>
  </si>
  <si>
    <t>code_origine_devise</t>
  </si>
  <si>
    <t>code_type_bilan</t>
  </si>
  <si>
    <t>Date de dépôt</t>
  </si>
  <si>
    <t>Dénomination</t>
  </si>
  <si>
    <t>Numéro de dépôt</t>
  </si>
  <si>
    <t>Actif (bilan): Parts à moins d'un an Brut</t>
  </si>
  <si>
    <t>Actif (bilan): Parts à plus d'un an Brut</t>
  </si>
  <si>
    <t>Actif (bilan):Autres créances Amortissement année N</t>
  </si>
  <si>
    <t>Actif (bilan):Autres créances Net année N</t>
  </si>
  <si>
    <t>Actif (bilan):Autres créances Net année N-1</t>
  </si>
  <si>
    <t>Actif (bilan):Autres créances brut Année N</t>
  </si>
  <si>
    <t>Actif (bilan):Autres immobilisations corporelles Amortissement année N</t>
  </si>
  <si>
    <t>Actif (bilan):Autres immobilisations corporelles Net année N</t>
  </si>
  <si>
    <t>Actif (bilan):Autres immobilisations corporelles Net année N-1</t>
  </si>
  <si>
    <t>Actif (bilan):Autres immobilisations corporelles brut Année N</t>
  </si>
  <si>
    <t>Actif (bilan):Autres immobilisations incorporelles Amortissement année N</t>
  </si>
  <si>
    <t>Actif (bilan):Autres immobilisations incorporelles Net année N</t>
  </si>
  <si>
    <t>Actif (bilan):Autres immobilisations incorporelles Net année N-1</t>
  </si>
  <si>
    <t>Actif (bilan):Autres immobilisations incorporelles brut Année N</t>
  </si>
  <si>
    <t>Actif (bilan):Autres participations Amortissement année N</t>
  </si>
  <si>
    <t>Actif (bilan):Autres participations Net année N</t>
  </si>
  <si>
    <t>Actif (bilan):Autres participations Net année N-1</t>
  </si>
  <si>
    <t>Actif (bilan):Autres participations brut Année N</t>
  </si>
  <si>
    <t>Actif (bilan):Autres titres immobilisés Amortissement année N</t>
  </si>
  <si>
    <t>Actif (bilan):Autres titres immobilisés Net année N</t>
  </si>
  <si>
    <t>Actif (bilan):Autres titres immobilisés Net année N-1</t>
  </si>
  <si>
    <t>Actif (bilan):Autres titres immobilisés brut Année N</t>
  </si>
  <si>
    <t>Actif (bilan):Avances et acomptes Amortissement année N</t>
  </si>
  <si>
    <t>Actif (bilan):Avances et acomptes Net année N</t>
  </si>
  <si>
    <t>Actif (bilan):Avances et acomptes Net année N-1</t>
  </si>
  <si>
    <t>Actif (bilan):Avances et acomptes brut Année N</t>
  </si>
  <si>
    <t>Actif (bilan):Avances et acomptes sur immobilisations incorporelles Amortissement année N</t>
  </si>
  <si>
    <t>Actif (bilan):Avances et acomptes sur immobilisations incorporelles Net année N</t>
  </si>
  <si>
    <t>Actif (bilan):Avances et acomptes sur immobilisations incorporelles Net année N-1</t>
  </si>
  <si>
    <t>Actif (bilan):Avances et acomptes sur immobilisations incorporelles brut Année N</t>
  </si>
  <si>
    <t>Actif (bilan):Avances et acomptes versés sur commandes Amortissement année N</t>
  </si>
  <si>
    <t>Actif (bilan):Avances et acomptes versés sur commandes Net année N</t>
  </si>
  <si>
    <t>Actif (bilan):Avances et acomptes versés sur commandes Net année N-1</t>
  </si>
  <si>
    <t>Actif (bilan):Avances et acomptes versés sur commandes brut Année N</t>
  </si>
  <si>
    <t>Actif (bilan):Capital souscrit et appelé, non versé Amortissement année N</t>
  </si>
  <si>
    <t>Actif (bilan):Capital souscrit et appelé, non versé Net année N</t>
  </si>
  <si>
    <t>Actif (bilan):Capital souscrit et appelé, non versé Net année N-1</t>
  </si>
  <si>
    <t>Actif (bilan):Capital souscrit et appelé, non versé brut Année N</t>
  </si>
  <si>
    <t>Actif (bilan):Capital souscrit non appelé Net année N</t>
  </si>
  <si>
    <t>Actif (bilan):Capital souscrit non appelé Net année N-1</t>
  </si>
  <si>
    <t>Actif (bilan):Capital souscrit non appelé brut Année N</t>
  </si>
  <si>
    <t>Actif (bilan):Charges à répartir ou frais d'émission d'emprunt Net année N</t>
  </si>
  <si>
    <t>Actif (bilan):Charges à répartir ou frais d'émission d'emprunt Net année N-1</t>
  </si>
  <si>
    <t>Actif (bilan):Charges à répartir ou frais d'émission d'emprunt brut Année N</t>
  </si>
  <si>
    <t>Actif (bilan):Charges constatées d'avance Amortissement année N</t>
  </si>
  <si>
    <t>Actif (bilan):Charges constatées d'avance Net année N</t>
  </si>
  <si>
    <t>Actif (bilan):Charges constatées d'avance Net année N-1</t>
  </si>
  <si>
    <t>Actif (bilan):Charges constatées d'avance brut Année N</t>
  </si>
  <si>
    <t>Actif (bilan):Clients et comptes rattachés Amortissement année N</t>
  </si>
  <si>
    <t>Actif (bilan):Clients et comptes rattachés Net année N</t>
  </si>
  <si>
    <t>Actif (bilan):Clients et comptes rattachés Net année N-1</t>
  </si>
  <si>
    <t>Actif (bilan):Clients et comptes rattachés brut Année N</t>
  </si>
  <si>
    <t>Actif (bilan):Concessions, brevets et droits similaires Amortissement année N</t>
  </si>
  <si>
    <t>Actif (bilan):Concessions, brevets et droits similaires Net année N</t>
  </si>
  <si>
    <t>Actif (bilan):Concessions, brevets et droits similaires Net année N-1</t>
  </si>
  <si>
    <t>Actif (bilan):Concessions, brevets et droits similaires brut Année N</t>
  </si>
  <si>
    <t>Actif (bilan):Constructions Amortissement année N</t>
  </si>
  <si>
    <t>Actif (bilan):Constructions Net année N</t>
  </si>
  <si>
    <t>Actif (bilan):Constructions Net année N-1</t>
  </si>
  <si>
    <t>Actif (bilan):Constructions brut Année N</t>
  </si>
  <si>
    <t>Actif (bilan):Créances rattachées à des participations Amortissement année N</t>
  </si>
  <si>
    <t>Actif (bilan):Créances rattachées à des participations Net année N</t>
  </si>
  <si>
    <t>Actif (bilan):Créances rattachées à des participations Net année N-1</t>
  </si>
  <si>
    <t>Actif (bilan):Créances rattachées à des participations brut Année N</t>
  </si>
  <si>
    <t>Actif (bilan):Disponibilités Amortissement année N</t>
  </si>
  <si>
    <t>Actif (bilan):Disponibilités Net année N</t>
  </si>
  <si>
    <t>Actif (bilan):Disponibilités Net année N-1</t>
  </si>
  <si>
    <t>Actif (bilan):Disponibilités brut Année N</t>
  </si>
  <si>
    <t>Actif (bilan):Ecarts de conversion actif (V) Net année N</t>
  </si>
  <si>
    <t>Actif (bilan):Ecarts de conversion actif (V) Net année N-1</t>
  </si>
  <si>
    <t>Actif (bilan):Ecarts de conversion actif (V) brut Année N</t>
  </si>
  <si>
    <t>Actif (bilan):Ecarts d'acquisition Amortissement année N</t>
  </si>
  <si>
    <t>Actif (bilan):Ecarts d'acquisition Net année N</t>
  </si>
  <si>
    <t>Actif (bilan):Ecarts d'acquisition Net année N-1</t>
  </si>
  <si>
    <t>Actif (bilan):Ecarts d'acquisition brut Année N</t>
  </si>
  <si>
    <t>Actif (bilan):En cours de production de biens Amortissement année N</t>
  </si>
  <si>
    <t>Actif (bilan):En cours de production de biens Net année N</t>
  </si>
  <si>
    <t>Actif (bilan):En cours de production de biens Net année N-1</t>
  </si>
  <si>
    <t>Actif (bilan):En cours de production de biens brut Année N</t>
  </si>
  <si>
    <t>Actif (bilan):En cours de production de services Amortissement année N</t>
  </si>
  <si>
    <t>Actif (bilan):En cours de production de services Net année N</t>
  </si>
  <si>
    <t>Actif (bilan):En cours de production de services Net année N-1</t>
  </si>
  <si>
    <t>Actif (bilan):En cours de production de services brut Année N</t>
  </si>
  <si>
    <t>Actif (bilan):Fonds commercial Amortissement année N</t>
  </si>
  <si>
    <t>Actif (bilan):Fonds commercial Net année N</t>
  </si>
  <si>
    <t>Actif (bilan):Fonds commercial Net année N-1</t>
  </si>
  <si>
    <t>Actif (bilan):Fonds commercial brut Année N</t>
  </si>
  <si>
    <t>Actif (bilan):Frais de développement ou de recherche et développement Amortissement année N</t>
  </si>
  <si>
    <t>Actif (bilan):Frais de développement ou de recherche et développement Net année N</t>
  </si>
  <si>
    <t>Actif (bilan):Frais de développement ou de recherche et développement Net année N-1</t>
  </si>
  <si>
    <t>Actif (bilan):Frais de développement ou de recherche et développement brut Année N</t>
  </si>
  <si>
    <t>Actif (bilan):Frais d'établissement Amortissement année N</t>
  </si>
  <si>
    <t>Actif (bilan):Frais d'établissement Net année N</t>
  </si>
  <si>
    <t>Actif (bilan):Frais d'établissement Net année N-1</t>
  </si>
  <si>
    <t>Actif (bilan):Frais d'établissement brut Année N</t>
  </si>
  <si>
    <t>Actif (bilan):Immobilisations en cours Amortissement année N</t>
  </si>
  <si>
    <t>Actif (bilan):Immobilisations en cours Net année N</t>
  </si>
  <si>
    <t>Actif (bilan):Immobilisations en cours Net année N-1</t>
  </si>
  <si>
    <t>Actif (bilan):Immobilisations en cours brut Année N</t>
  </si>
  <si>
    <t>Actif (bilan):Installations techniques, matériel et outillage industriels Amortissement année N</t>
  </si>
  <si>
    <t>Actif (bilan):Installations techniques, matériel et outillage industriels Net année N</t>
  </si>
  <si>
    <t>Actif (bilan):Installations techniques, matériel et outillage industriels Net année N-1</t>
  </si>
  <si>
    <t>Actif (bilan):Installations techniques, matériel et outillage industriels brut Année N</t>
  </si>
  <si>
    <t>Actif (bilan):Marchandises Amortissement année N</t>
  </si>
  <si>
    <t>Actif (bilan):Marchandises Net année N</t>
  </si>
  <si>
    <t>Actif (bilan):Marchandises Net année N-1</t>
  </si>
  <si>
    <t>Actif (bilan):Marchandises brut Année N</t>
  </si>
  <si>
    <t>Actif (bilan):Participations évaluées - mise en équivalence Amortissement année N</t>
  </si>
  <si>
    <t>Actif (bilan):Participations évaluées - mise en équivalence Net année N</t>
  </si>
  <si>
    <t>Actif (bilan):Participations évaluées - mise en équivalence Net année N-1</t>
  </si>
  <si>
    <t>Actif (bilan):Participations évaluées - mise en équivalence brut Année N</t>
  </si>
  <si>
    <t>Actif (bilan):Primes de remboursement des obligations (IV) Net année N</t>
  </si>
  <si>
    <t>Actif (bilan):Primes de remboursement des obligations (IV) Net année N-1</t>
  </si>
  <si>
    <t>Actif (bilan):Primes de remboursement des obligations (IV) brut Année N</t>
  </si>
  <si>
    <t>Actif (bilan):Produits intermédiaires et finis Amortissement année N</t>
  </si>
  <si>
    <t>Actif (bilan):Produits intermédiaires et finis Net année N</t>
  </si>
  <si>
    <t>Actif (bilan):Produits intermédiaires et finis Net année N-1</t>
  </si>
  <si>
    <t>Actif (bilan):Produits intermédiaires et finis brut Année N</t>
  </si>
  <si>
    <t>Actif (bilan):Sur valeurs - goodwill Amortissement année N</t>
  </si>
  <si>
    <t>Actif (bilan):Sur valeurs - goodwill Net année N</t>
  </si>
  <si>
    <t>Actif (bilan):Sur valeurs - goodwill Net année N-1</t>
  </si>
  <si>
    <t>Actif (bilan):Sur valeurs - goodwill brut Année N</t>
  </si>
  <si>
    <t>Actif (bilan):TOTAL (I) Amortissement année N</t>
  </si>
  <si>
    <t>Actif (bilan):TOTAL (I) Net année N</t>
  </si>
  <si>
    <t>Actif (bilan):TOTAL (I) Net année N-1</t>
  </si>
  <si>
    <t>Actif (bilan):TOTAL (I) brut Année N</t>
  </si>
  <si>
    <t>Actif (bilan):TOTAL (II) Amortissement année N</t>
  </si>
  <si>
    <t>Actif (bilan):TOTAL (II) Net année N</t>
  </si>
  <si>
    <t>Actif (bilan):TOTAL (II) Net année N-1</t>
  </si>
  <si>
    <t>Actif (bilan):TOTAL (II) brut Année N</t>
  </si>
  <si>
    <t>Actif (bilan):TOTAL GENERAL (0 à V) Amortissement année N</t>
  </si>
  <si>
    <t>Actif (bilan):TOTAL GENERAL (0 à V) Net année N</t>
  </si>
  <si>
    <t>Actif (bilan):TOTAL GENERAL (0 à V) Net année N-1</t>
  </si>
  <si>
    <t>Actif (bilan):TOTAL GENERAL (0 à V) brut Année N</t>
  </si>
  <si>
    <t>Actif (bilan):Terrains Amortissement année N</t>
  </si>
  <si>
    <t>Actif (bilan):Terrains Net année N</t>
  </si>
  <si>
    <t>Actif (bilan):Terrains Net année N-1</t>
  </si>
  <si>
    <t>Actif (bilan):Terrains brut Année N</t>
  </si>
  <si>
    <t>Actif (bilan):Titres mis en équivalence Amortissement année N</t>
  </si>
  <si>
    <t>Actif (bilan):Titres mis en équivalence Net année N</t>
  </si>
  <si>
    <t>Actif (bilan):Titres mis en équivalence Net année N-1</t>
  </si>
  <si>
    <t>Actif (bilan):Titres mis en équivalence brut Année N</t>
  </si>
  <si>
    <t>Compte de résultat (suite):- RESULTAT EXCEPTIONNEL (VII - VIII) Année N</t>
  </si>
  <si>
    <t>Compte de résultat (suite):- RESULTAT EXCEPTIONNEL (VII - VIII) Année N-1</t>
  </si>
  <si>
    <t>Compte de résultat (suite):- RESULTAT NET AVANT AMORTISSEMENT DES ECARTS d'ACQUISITION Année N</t>
  </si>
  <si>
    <t>Compte de résultat (suite):- RESULTAT NET AVANT AMORTISSEMENT DES ECARTS d'ACQUISITION Année N-1</t>
  </si>
  <si>
    <t>Compte de résultat (suite):Charges exceptionnelles sur opérations de gestion Année N</t>
  </si>
  <si>
    <t>Compte de résultat (suite):Charges exceptionnelles sur opérations de gestion Année N-1</t>
  </si>
  <si>
    <t>Compte de résultat (suite):Charges exceptionnelles sur opérations en capital Année N</t>
  </si>
  <si>
    <t>Compte de résultat (suite):Charges exceptionnelles sur opérations en capital Année N-1</t>
  </si>
  <si>
    <t>Compte de résultat (suite):Dotation aux amortissements des écarts d'acquisition Année N</t>
  </si>
  <si>
    <t>Compte de résultat (suite):Dotation aux amortissements des écarts d'acquisition Année N-1</t>
  </si>
  <si>
    <t>Compte de résultat (suite):Dotations exceptionnelles aux amortissements et provisions Année N</t>
  </si>
  <si>
    <t>Compte de résultat (suite):Dotations exceptionnelles aux amortissements et provisions Année N-1</t>
  </si>
  <si>
    <t>Compte de résultat (suite):Produits exceptionnels sur opérations de gestion Année N</t>
  </si>
  <si>
    <t>Compte de résultat (suite):Produits exceptionnels sur opérations de gestion Année N-1</t>
  </si>
  <si>
    <t>Compte de résultat (suite):Produits exceptionnels sur opérations en capital Année N</t>
  </si>
  <si>
    <t>Compte de résultat (suite):Produits exceptionnels sur opérations en capital Année N-1</t>
  </si>
  <si>
    <t>Compte de résultat (suite):Renvois : Crédit-bail immobilier Année N</t>
  </si>
  <si>
    <t>Compte de résultat (suite):Renvois : Crédit-bail immobilier Année N-1</t>
  </si>
  <si>
    <t>Compte de résultat (suite):Renvois : Crédit-bail mobilier Année N</t>
  </si>
  <si>
    <t>Compte de résultat (suite):Renvois : Crédit-bail mobilier Année N-1</t>
  </si>
  <si>
    <t>Compte de résultat (suite):Reprises sur provisions et transferts de charges Année N</t>
  </si>
  <si>
    <t>Compte de résultat (suite):Reprises sur provisions et transferts de charges Année N-1</t>
  </si>
  <si>
    <t>Compte de résultat (suite):Résultat Groupe (Résultat net consolidé) Année N</t>
  </si>
  <si>
    <t>Compte de résultat (suite):Résultat Groupe (Résultat net consolidé) Année N-1</t>
  </si>
  <si>
    <t>Compte de résultat (suite):Résultat net des entreprises intégrées Année N</t>
  </si>
  <si>
    <t>Compte de résultat (suite):Résultat net des entreprises intégrées Année N-1</t>
  </si>
  <si>
    <t>Compte de résultat (suite):Résultat net des sociétés mises en équivalence Année N</t>
  </si>
  <si>
    <t>Compte de résultat (suite):Résultat net des sociétés mises en équivalence Année N-1</t>
  </si>
  <si>
    <t>Compte de résultat (suite):Total des charges exceptionnelles (VIII) Année N</t>
  </si>
  <si>
    <t>Compte de résultat (suite):Total des charges exceptionnelles (VIII) Année N-1</t>
  </si>
  <si>
    <t>Compte de résultat (suite):Total des produits exceptionnels (VII) Année N</t>
  </si>
  <si>
    <t>Compte de résultat (suite):Total des produits exceptionnels (VII) Année N-1</t>
  </si>
  <si>
    <t>Compte de résultat: Achats de marchandises (y compris droits de douane) Année N</t>
  </si>
  <si>
    <t>Compte de résultat: Achats de marchandises (y compris droits de douane) Année N-1</t>
  </si>
  <si>
    <t>Compte de résultat: Autres achats et charges externes Année N</t>
  </si>
  <si>
    <t>Compte de résultat: Autres achats et charges externes Année N-1</t>
  </si>
  <si>
    <t>Compte de résultat: Autres charges Année N</t>
  </si>
  <si>
    <t>Compte de résultat: Autres charges Année N-1</t>
  </si>
  <si>
    <t>Compte de résultat: Autres produits Année N</t>
  </si>
  <si>
    <t>Compte de résultat: Autres produits Année N-1</t>
  </si>
  <si>
    <t>Compte de résultat: Bénéfice attribué ou perte transférée (III) Année N</t>
  </si>
  <si>
    <t>Compte de résultat: Bénéfice attribué ou perte transférée (III) Année N-1</t>
  </si>
  <si>
    <t>Compte de résultat: Charges sociales Année N</t>
  </si>
  <si>
    <t>Compte de résultat: Charges sociales Année N-1</t>
  </si>
  <si>
    <t>Compte de résultat: Différences négatives de change Année N</t>
  </si>
  <si>
    <t>Compte de résultat: Différences négatives de change Année N-1</t>
  </si>
  <si>
    <t>Compte de résultat: Différences positives de change Année N</t>
  </si>
  <si>
    <t>Compte de résultat: Différences positives de change Année N-1</t>
  </si>
  <si>
    <t>Compte de résultat: Dot. d'exploit. - Dotations aux amortissements Année N</t>
  </si>
  <si>
    <t>Compte de résultat: Dot. d'exploit. - Dotations aux amortissements Année N-1</t>
  </si>
  <si>
    <t>Compte de résultat: Dot. d'exploit. - Dotations aux provisions Année N</t>
  </si>
  <si>
    <t>Compte de résultat: Dot. d'exploit. - Dotations aux provisions Année N-1</t>
  </si>
  <si>
    <t>Compte de résultat: Dot. d'exploit. Pour risques et charges : dotations aux provisions Année N</t>
  </si>
  <si>
    <t>Compte de résultat: Dot. d'exploit. Pour risques et charges : dotations aux provisions Année N-1</t>
  </si>
  <si>
    <t>Compte de résultat: Dot. d'exploit. Sur actif circulant : dotations aux provisions Année N</t>
  </si>
  <si>
    <t>Compte de résultat: Dot. d'exploit. Sur actif circulant : dotations aux provisions Année N-1</t>
  </si>
  <si>
    <t>Compte de résultat: Perte supportée ou bénéfice transféré (IV) Année N</t>
  </si>
  <si>
    <t>Compte de résultat: Perte supportée ou bénéfice transféré (IV) Année N-1</t>
  </si>
  <si>
    <t>Compte de résultat: Production immobilisée Année N</t>
  </si>
  <si>
    <t>Compte de résultat: Production immobilisée Année N-1</t>
  </si>
  <si>
    <t>Compte de résultat: Production stockée Année N</t>
  </si>
  <si>
    <t>Compte de résultat: Production stockée Année N-1</t>
  </si>
  <si>
    <t>Compte de résultat: Produits financiers de participations Année N</t>
  </si>
  <si>
    <t>Compte de résultat: Produits financiers de participations Année N-1</t>
  </si>
  <si>
    <t>Compte de résultat: RESULTAT COURANT AVANT IMPOTS (I - II + III - IV + V - VI) Année N</t>
  </si>
  <si>
    <t>Compte de résultat: RESULTAT COURANT AVANT IMPOTS (I - II + III - IV + V - VI) Année N-1</t>
  </si>
  <si>
    <t>Compte de résultat: RESULTAT d'EXPLOITATION (I - II) Année N</t>
  </si>
  <si>
    <t>Compte de résultat: RESULTAT d'EXPLOITATION (I - II) Année N-1</t>
  </si>
  <si>
    <t>Compte de résultat: RESULTAT FINANCIER (V - VI) Année N</t>
  </si>
  <si>
    <t>Compte de résultat: RESULTAT FINANCIER (V - VI) Année N-1</t>
  </si>
  <si>
    <t>Compte de résultat: Reprises sur amortissements et provisions, transfert de charges Année N</t>
  </si>
  <si>
    <t>Compte de résultat: Reprises sur amortissements et provisions, transfert de charges Année N-1</t>
  </si>
  <si>
    <t>Compte de résultat: Reprises sur provisions et transferts de charges Année N</t>
  </si>
  <si>
    <t>Compte de résultat: Reprises sur provisions et transferts de charges Année N-1</t>
  </si>
  <si>
    <t>Compte de résultat: Salaires et traitements Année N</t>
  </si>
  <si>
    <t>Compte de résultat: Salaires et traitements Année N-1</t>
  </si>
  <si>
    <t>Compte de résultat: Subventions d'exploitation Année N</t>
  </si>
  <si>
    <t>Compte de résultat: Subventions d'exploitation Année N-1</t>
  </si>
  <si>
    <t>Compte de résultat: Total des charges d'exploitation (II) Année N</t>
  </si>
  <si>
    <t>Compte de résultat: Total des charges d'exploitation (II) Année N-1</t>
  </si>
  <si>
    <t>Compte de résultat: Total des produits d'exploitation (I) Année N</t>
  </si>
  <si>
    <t>Compte de résultat: Total des produits d'exploitation (I) Année N-1</t>
  </si>
  <si>
    <t>Compte de résultat: Total des produits financiers (V) Année N</t>
  </si>
  <si>
    <t>Compte de résultat: Total des produits financiers (V) Année N-1</t>
  </si>
  <si>
    <t>Compte de résultat: Variation de stock (marchandises) Année N</t>
  </si>
  <si>
    <t>Compte de résultat: Variation de stock (marchandises) Année N-1</t>
  </si>
  <si>
    <t>Compte de résultat:Chiffres d'affaires nets Export année N</t>
  </si>
  <si>
    <t>Compte de résultat:Chiffres d'affaires nets France Année N</t>
  </si>
  <si>
    <t>Compte de résultat:Chiffres d'affaires nets Total année N</t>
  </si>
  <si>
    <t>Compte de résultat:Chiffres d'affaires nets Total année N-1</t>
  </si>
  <si>
    <t>Compte de résultat:Production vendue biens Export année N</t>
  </si>
  <si>
    <t>Compte de résultat:Production vendue biens France Année N</t>
  </si>
  <si>
    <t>Compte de résultat:Production vendue biens Total année N</t>
  </si>
  <si>
    <t>Compte de résultat:Production vendue biens Total année N-1</t>
  </si>
  <si>
    <t>Compte de résultat:Production vendue services Export année N</t>
  </si>
  <si>
    <t>Compte de résultat:Production vendue services France Année N</t>
  </si>
  <si>
    <t>Compte de résultat:Production vendue services Total année N</t>
  </si>
  <si>
    <t>Compte de résultat:Production vendue services Total année N-1</t>
  </si>
  <si>
    <t>Compte de résultat:Ventes de marchandises Export année N</t>
  </si>
  <si>
    <t>Compte de résultat:Ventes de marchandises France Année N</t>
  </si>
  <si>
    <t>Compte de résultat:Ventes de marchandises Total année N</t>
  </si>
  <si>
    <t>Compte de résultat:Ventes de marchandises Total année N-1</t>
  </si>
  <si>
    <t>Passif (bilan): (V) Année N</t>
  </si>
  <si>
    <t>Passif (bilan): (V) Année N-1</t>
  </si>
  <si>
    <t>Passif (bilan):(dont écart d'équivalence) Année N</t>
  </si>
  <si>
    <t>Passif (bilan):(dont écart d'équivalence) Année N-1</t>
  </si>
  <si>
    <t>Passif (bilan):Autres Année N</t>
  </si>
  <si>
    <t>Passif (bilan):Autres Année N-1</t>
  </si>
  <si>
    <t>Passif (bilan):Autres dettes Année N</t>
  </si>
  <si>
    <t>Passif (bilan):Autres dettes Année N-1</t>
  </si>
  <si>
    <t>Passif (bilan):Autres emprunts obligataires Année N</t>
  </si>
  <si>
    <t>Passif (bilan):Autres emprunts obligataires Année N-1</t>
  </si>
  <si>
    <t>Passif (bilan):Autres réserves Année N</t>
  </si>
  <si>
    <t>Passif (bilan):Autres réserves Année N-1</t>
  </si>
  <si>
    <t>Passif (bilan):Avances conditionnées Année N</t>
  </si>
  <si>
    <t>Passif (bilan):Avances conditionnées Année N-1</t>
  </si>
  <si>
    <t>Passif (bilan):Capital social ou individuel Année N</t>
  </si>
  <si>
    <t>Passif (bilan):Capital social ou individuel Année N-1</t>
  </si>
  <si>
    <t>Passif (bilan):Dans les réserves Année N</t>
  </si>
  <si>
    <t>Passif (bilan):Dans les réserves Année N-1</t>
  </si>
  <si>
    <t>Passif (bilan):Dans les résultats Année N</t>
  </si>
  <si>
    <t>Passif (bilan):Dans les résultats Année N-1</t>
  </si>
  <si>
    <t>Passif (bilan):Dettes et produits constatés d'avance à moins d'un an Année N</t>
  </si>
  <si>
    <t>Passif (bilan):Dettes et produits constatés d'avance à moins d'un an Année N-1</t>
  </si>
  <si>
    <t>Passif (bilan):Dettes fiscales et sociales Année N</t>
  </si>
  <si>
    <t>Passif (bilan):Dettes fiscales et sociales Année N-1</t>
  </si>
  <si>
    <t>Passif (bilan):Dettes fournisseurs et comptes rattachés Année N</t>
  </si>
  <si>
    <t>Passif (bilan):Dettes fournisseurs et comptes rattachés Année N-1</t>
  </si>
  <si>
    <t>Passif (bilan):Dettes sur immobilisations et comptes rattachés Année N</t>
  </si>
  <si>
    <t>Passif (bilan):Dettes sur immobilisations et comptes rattachés Année N-1</t>
  </si>
  <si>
    <t>Passif (bilan):Dont concours bancaires courants, et soldes créditeurs de banques et C.C.P. Année N</t>
  </si>
  <si>
    <t>Passif (bilan):Dont concours bancaires courants, et soldes créditeurs de banques et C.C.P. Année N-1</t>
  </si>
  <si>
    <t>Passif (bilan):Dont emprunts participatifs Année N</t>
  </si>
  <si>
    <t>Passif (bilan):Dont emprunts participatifs Année N-1</t>
  </si>
  <si>
    <t>Passif (bilan):Dont réserve réglementée des plus-values à long terme Année N</t>
  </si>
  <si>
    <t>Passif (bilan):Dont réserve réglementée des plus-values à long terme Année N-1</t>
  </si>
  <si>
    <t>Passif (bilan):Ecarts de conversion Année N</t>
  </si>
  <si>
    <t>Passif (bilan):Ecarts de conversion Année N-1</t>
  </si>
  <si>
    <t>Passif (bilan):Ecarts de réévaluation Année N</t>
  </si>
  <si>
    <t>Passif (bilan):Ecarts de réévaluation Année N-1</t>
  </si>
  <si>
    <t>Passif (bilan):Ecarts d'acquisition Année N</t>
  </si>
  <si>
    <t>Passif (bilan):Ecarts d'acquisition Année N-1</t>
  </si>
  <si>
    <t>Passif (bilan):Emprunts obligataires convertibles Année N</t>
  </si>
  <si>
    <t>Passif (bilan):Emprunts obligataires convertibles Année N-1</t>
  </si>
  <si>
    <t>Passif (bilan):Primes d'émission, de fusion, d'apport Année N</t>
  </si>
  <si>
    <t>Passif (bilan):Primes d'émission, de fusion, d'apport Année N-1</t>
  </si>
  <si>
    <t>Passif (bilan):Produit des émissions de titres participatifs Année N</t>
  </si>
  <si>
    <t>Passif (bilan):Produit des émissions de titres participatifs Année N-1</t>
  </si>
  <si>
    <t>Passif (bilan):Produits constatés d'avance (2) Année N</t>
  </si>
  <si>
    <t>Passif (bilan):Produits constatés d'avance (2) Année N-1</t>
  </si>
  <si>
    <t>Passif (bilan):Provisions pour charges Année N</t>
  </si>
  <si>
    <t>Passif (bilan):Provisions pour charges Année N-1</t>
  </si>
  <si>
    <t>Passif (bilan):Provisions pour risques Année N</t>
  </si>
  <si>
    <t>Passif (bilan):Provisions pour risques Année N-1</t>
  </si>
  <si>
    <t>Passif (bilan):Provisions réglementées Année N</t>
  </si>
  <si>
    <t>Passif (bilan):Provisions réglementées Année N-1</t>
  </si>
  <si>
    <t>Passif (bilan):Report à nouveau Année N</t>
  </si>
  <si>
    <t>Passif (bilan):Report à nouveau Année N-1</t>
  </si>
  <si>
    <t>Passif (bilan):Réserve légale (1) Année N</t>
  </si>
  <si>
    <t>Passif (bilan):Réserve légale (1) Année N-1</t>
  </si>
  <si>
    <t>Passif (bilan):Réserves réglementées (1) Année N</t>
  </si>
  <si>
    <t>Passif (bilan):Réserves réglementées (1) Année N-1</t>
  </si>
  <si>
    <t>Passif (bilan):Réserves statutaires ou contractuelles Année N</t>
  </si>
  <si>
    <t>Passif (bilan):Réserves statutaires ou contractuelles Année N-1</t>
  </si>
  <si>
    <t>Passif (bilan):Résultat consolidé part du groupe Année N</t>
  </si>
  <si>
    <t>Passif (bilan):Résultat consolidé part du groupe Année N-1</t>
  </si>
  <si>
    <t>Passif (bilan):Subventions d'investissement Année N</t>
  </si>
  <si>
    <t>Passif (bilan):Subventions d'investissement Année N-1</t>
  </si>
  <si>
    <t>Passif (bilan):TOTAL (I) Année N</t>
  </si>
  <si>
    <t>Passif (bilan):TOTAL (I) Année N-1</t>
  </si>
  <si>
    <t>Passif (bilan):TOTAL (II) Année N</t>
  </si>
  <si>
    <t>Passif (bilan):TOTAL (II) Année N-1</t>
  </si>
  <si>
    <t>Passif (bilan):TOTAL (III) Année N</t>
  </si>
  <si>
    <t>Passif (bilan):TOTAL (III) Année N-1</t>
  </si>
  <si>
    <t>Passif (bilan):TOTAL (IV) Année N</t>
  </si>
  <si>
    <t>Passif (bilan):TOTAL (IV) Année N-1</t>
  </si>
  <si>
    <t>Passif (bilan):TOTAL GENERAL (I à V) Année N</t>
  </si>
  <si>
    <t>Passif (bilan):TOTAL GENERAL (I à V) Année N-1</t>
  </si>
  <si>
    <t>NAF2</t>
  </si>
  <si>
    <t>ADR</t>
  </si>
  <si>
    <t>COD_ACT</t>
  </si>
  <si>
    <t>CONFI</t>
  </si>
  <si>
    <t>DEV</t>
  </si>
  <si>
    <t>GREFFEID</t>
  </si>
  <si>
    <t>ORIG</t>
  </si>
  <si>
    <t>SRCE_BIL</t>
  </si>
  <si>
    <t>DATE</t>
  </si>
  <si>
    <t>DATE_N1</t>
  </si>
  <si>
    <t>DATE-Depot</t>
  </si>
  <si>
    <t>CP</t>
  </si>
  <si>
    <t>CR</t>
  </si>
  <si>
    <t>CA</t>
  </si>
  <si>
    <t>BZ-CA</t>
  </si>
  <si>
    <t>BZ-CA(N1)</t>
  </si>
  <si>
    <t>BZ</t>
  </si>
  <si>
    <t>AU</t>
  </si>
  <si>
    <t>AT-AU</t>
  </si>
  <si>
    <t>AT(N1)</t>
  </si>
  <si>
    <t>AT</t>
  </si>
  <si>
    <t>BI</t>
  </si>
  <si>
    <t>BH-BI</t>
  </si>
  <si>
    <t>BH(N1)</t>
  </si>
  <si>
    <t>BH</t>
  </si>
  <si>
    <t>AK</t>
  </si>
  <si>
    <t>AJ-AK</t>
  </si>
  <si>
    <t>AJ(N1)</t>
  </si>
  <si>
    <t>AJ</t>
  </si>
  <si>
    <t>CV</t>
  </si>
  <si>
    <t>CU-CV</t>
  </si>
  <si>
    <t>CU(N1)</t>
  </si>
  <si>
    <t>CU</t>
  </si>
  <si>
    <t>BE</t>
  </si>
  <si>
    <t>BD-BE</t>
  </si>
  <si>
    <t>BD(N1)</t>
  </si>
  <si>
    <t>BD</t>
  </si>
  <si>
    <t>AY</t>
  </si>
  <si>
    <t>AX-AY</t>
  </si>
  <si>
    <t>AX(N1)</t>
  </si>
  <si>
    <t>AX</t>
  </si>
  <si>
    <t>AM</t>
  </si>
  <si>
    <t>AL-AM</t>
  </si>
  <si>
    <t>AL(N1)</t>
  </si>
  <si>
    <t>AL</t>
  </si>
  <si>
    <t>BW</t>
  </si>
  <si>
    <t>BV-BW</t>
  </si>
  <si>
    <t>BV(N1)</t>
  </si>
  <si>
    <t>BV</t>
  </si>
  <si>
    <t>CC</t>
  </si>
  <si>
    <t>CB-CC</t>
  </si>
  <si>
    <t>CB(N1)</t>
  </si>
  <si>
    <t>CB</t>
  </si>
  <si>
    <t>AA</t>
  </si>
  <si>
    <t>AA(N1)</t>
  </si>
  <si>
    <t>CL</t>
  </si>
  <si>
    <t>CL(N1)</t>
  </si>
  <si>
    <t>CI</t>
  </si>
  <si>
    <t>CH-CI</t>
  </si>
  <si>
    <t>CH(N1)</t>
  </si>
  <si>
    <t>CH</t>
  </si>
  <si>
    <t>BY</t>
  </si>
  <si>
    <t>BX-BY</t>
  </si>
  <si>
    <t>BX(N1)</t>
  </si>
  <si>
    <t>BX</t>
  </si>
  <si>
    <t>AG</t>
  </si>
  <si>
    <t>AF-AG</t>
  </si>
  <si>
    <t>AF(N1)</t>
  </si>
  <si>
    <t>AF</t>
  </si>
  <si>
    <t>AQ</t>
  </si>
  <si>
    <t>AP-AQ</t>
  </si>
  <si>
    <t>AP(N1)</t>
  </si>
  <si>
    <t>AP</t>
  </si>
  <si>
    <t>BC</t>
  </si>
  <si>
    <t>BB-BC</t>
  </si>
  <si>
    <t>BB(N1)</t>
  </si>
  <si>
    <t>BB</t>
  </si>
  <si>
    <t>CO3AA</t>
  </si>
  <si>
    <t>CO3AB-CO3AA</t>
  </si>
  <si>
    <t>CO3AB(N1)</t>
  </si>
  <si>
    <t>CO3AB</t>
  </si>
  <si>
    <t>CG</t>
  </si>
  <si>
    <t>CF-CG</t>
  </si>
  <si>
    <t>CF(N1)</t>
  </si>
  <si>
    <t>CF</t>
  </si>
  <si>
    <t>CN</t>
  </si>
  <si>
    <t>CN(N1)</t>
  </si>
  <si>
    <t>CO1AA</t>
  </si>
  <si>
    <t>CO1AB-CO1AA</t>
  </si>
  <si>
    <t>CO1AB(N1)</t>
  </si>
  <si>
    <t>CO1AB</t>
  </si>
  <si>
    <t>BO</t>
  </si>
  <si>
    <t>BN-BO</t>
  </si>
  <si>
    <t>BN(N1)</t>
  </si>
  <si>
    <t>BN</t>
  </si>
  <si>
    <t>BQ</t>
  </si>
  <si>
    <t>BP-BQ</t>
  </si>
  <si>
    <t>BP(N1)</t>
  </si>
  <si>
    <t>BP</t>
  </si>
  <si>
    <t>AI</t>
  </si>
  <si>
    <t>AH-AI</t>
  </si>
  <si>
    <t>AH(N1)</t>
  </si>
  <si>
    <t>AH</t>
  </si>
  <si>
    <t>AE</t>
  </si>
  <si>
    <t>AD-AE</t>
  </si>
  <si>
    <t>AD(N1)</t>
  </si>
  <si>
    <t>AD</t>
  </si>
  <si>
    <t>AB(N1)</t>
  </si>
  <si>
    <t>AB</t>
  </si>
  <si>
    <t>AW</t>
  </si>
  <si>
    <t>AV-AW</t>
  </si>
  <si>
    <t>AV(N1)</t>
  </si>
  <si>
    <t>AV</t>
  </si>
  <si>
    <t>AS</t>
  </si>
  <si>
    <t>AR-AS</t>
  </si>
  <si>
    <t>AR(N1)</t>
  </si>
  <si>
    <t>AR</t>
  </si>
  <si>
    <t>BU</t>
  </si>
  <si>
    <t>BT-BU</t>
  </si>
  <si>
    <t>BT(N1)</t>
  </si>
  <si>
    <t>BT</t>
  </si>
  <si>
    <t>BM</t>
  </si>
  <si>
    <t>BL-BM</t>
  </si>
  <si>
    <t>BL(N1)</t>
  </si>
  <si>
    <t>BL</t>
  </si>
  <si>
    <t>CO4AA</t>
  </si>
  <si>
    <t>CO4AB-CO4AA</t>
  </si>
  <si>
    <t>CO4AB(N1)</t>
  </si>
  <si>
    <t>CO4AB</t>
  </si>
  <si>
    <t>BG</t>
  </si>
  <si>
    <t>BF-BG</t>
  </si>
  <si>
    <t>BF(N1)</t>
  </si>
  <si>
    <t>BF</t>
  </si>
  <si>
    <t>CM</t>
  </si>
  <si>
    <t>CM(N1)</t>
  </si>
  <si>
    <t>BS</t>
  </si>
  <si>
    <t>BR-BS</t>
  </si>
  <si>
    <t>BR(N1)</t>
  </si>
  <si>
    <t>BR</t>
  </si>
  <si>
    <t>CO2AA</t>
  </si>
  <si>
    <t>CO2AB-CO2AA</t>
  </si>
  <si>
    <t>CO2AB(N1)</t>
  </si>
  <si>
    <t>CO2AB</t>
  </si>
  <si>
    <t>DL</t>
  </si>
  <si>
    <t>DL(N1)</t>
  </si>
  <si>
    <t>BK</t>
  </si>
  <si>
    <t>BJ-BK</t>
  </si>
  <si>
    <t>BJ(N1)</t>
  </si>
  <si>
    <t>BJ</t>
  </si>
  <si>
    <t>1A</t>
  </si>
  <si>
    <t>CO-1A</t>
  </si>
  <si>
    <t>CO(N1)</t>
  </si>
  <si>
    <t>CO</t>
  </si>
  <si>
    <t>AO</t>
  </si>
  <si>
    <t>AN-AO</t>
  </si>
  <si>
    <t>AN(N1)</t>
  </si>
  <si>
    <t>AN</t>
  </si>
  <si>
    <t>CE</t>
  </si>
  <si>
    <t>CD-CE</t>
  </si>
  <si>
    <t>CD(N1)</t>
  </si>
  <si>
    <t>CD</t>
  </si>
  <si>
    <t>HI</t>
  </si>
  <si>
    <t>HI(N1)</t>
  </si>
  <si>
    <t>CO2R</t>
  </si>
  <si>
    <t>CO2R(N1)</t>
  </si>
  <si>
    <t>HE</t>
  </si>
  <si>
    <t>HE(N1)</t>
  </si>
  <si>
    <t>HF</t>
  </si>
  <si>
    <t>HF(N1)</t>
  </si>
  <si>
    <t>CO3R</t>
  </si>
  <si>
    <t>CO3R(N1)</t>
  </si>
  <si>
    <t>HG</t>
  </si>
  <si>
    <t>HG(N1)</t>
  </si>
  <si>
    <t>CO1R</t>
  </si>
  <si>
    <t>CO1R(N1)</t>
  </si>
  <si>
    <t>HK</t>
  </si>
  <si>
    <t>HK(N1)</t>
  </si>
  <si>
    <t>CO7R</t>
  </si>
  <si>
    <t>CO7R(N1)</t>
  </si>
  <si>
    <t>HJ</t>
  </si>
  <si>
    <t>HJ(N1)</t>
  </si>
  <si>
    <t>HA</t>
  </si>
  <si>
    <t>HA(N1)</t>
  </si>
  <si>
    <t>HB</t>
  </si>
  <si>
    <t>HB(N1)</t>
  </si>
  <si>
    <t>HQ</t>
  </si>
  <si>
    <t>HQ(N1)</t>
  </si>
  <si>
    <t>HP</t>
  </si>
  <si>
    <t>HP(N1)</t>
  </si>
  <si>
    <t>GM</t>
  </si>
  <si>
    <t>GM(N1)</t>
  </si>
  <si>
    <t>CO6R</t>
  </si>
  <si>
    <t>CO6R(N1)</t>
  </si>
  <si>
    <t>CO5R</t>
  </si>
  <si>
    <t>CO5R(N1)</t>
  </si>
  <si>
    <t>CO4R</t>
  </si>
  <si>
    <t>CO4R(N1)</t>
  </si>
  <si>
    <t>CO8R</t>
  </si>
  <si>
    <t>CO8R(N1)</t>
  </si>
  <si>
    <t>HH</t>
  </si>
  <si>
    <t>HH(N1)</t>
  </si>
  <si>
    <t>HD</t>
  </si>
  <si>
    <t>HD(N1)</t>
  </si>
  <si>
    <t>FS</t>
  </si>
  <si>
    <t>FS(N1)</t>
  </si>
  <si>
    <t>FU</t>
  </si>
  <si>
    <t>FU(N1)</t>
  </si>
  <si>
    <t>FW</t>
  </si>
  <si>
    <t>FW(N1)</t>
  </si>
  <si>
    <t>GE</t>
  </si>
  <si>
    <t>GE(N1)</t>
  </si>
  <si>
    <t>GL</t>
  </si>
  <si>
    <t>GL(N1)</t>
  </si>
  <si>
    <t>FQ</t>
  </si>
  <si>
    <t>FQ(N1)</t>
  </si>
  <si>
    <t>GH</t>
  </si>
  <si>
    <t>GH(N1)</t>
  </si>
  <si>
    <t>GT</t>
  </si>
  <si>
    <t>GT(N1)</t>
  </si>
  <si>
    <t>FZ</t>
  </si>
  <si>
    <t>FZ(N1)</t>
  </si>
  <si>
    <t>GS</t>
  </si>
  <si>
    <t>GS(N1)</t>
  </si>
  <si>
    <t>GN</t>
  </si>
  <si>
    <t>GN(N1)</t>
  </si>
  <si>
    <t>GA</t>
  </si>
  <si>
    <t>GA(N1)</t>
  </si>
  <si>
    <t>GB</t>
  </si>
  <si>
    <t>GB(N1)</t>
  </si>
  <si>
    <t>GD</t>
  </si>
  <si>
    <t>GD(N1)</t>
  </si>
  <si>
    <t>GC</t>
  </si>
  <si>
    <t>GC(N1)</t>
  </si>
  <si>
    <t>GQ</t>
  </si>
  <si>
    <t>GQ(N1)</t>
  </si>
  <si>
    <t>FX</t>
  </si>
  <si>
    <t>FX(N1)</t>
  </si>
  <si>
    <t>GR</t>
  </si>
  <si>
    <t>GR(N1)</t>
  </si>
  <si>
    <t>GI</t>
  </si>
  <si>
    <t>GI(N1)</t>
  </si>
  <si>
    <t>FN</t>
  </si>
  <si>
    <t>FN(N1)</t>
  </si>
  <si>
    <t>FM</t>
  </si>
  <si>
    <t>FM(N1)</t>
  </si>
  <si>
    <t>GK</t>
  </si>
  <si>
    <t>GK(N1)</t>
  </si>
  <si>
    <t>GJ</t>
  </si>
  <si>
    <t>GJ(N1)</t>
  </si>
  <si>
    <t>GO</t>
  </si>
  <si>
    <t>GO(N1)</t>
  </si>
  <si>
    <t>GW</t>
  </si>
  <si>
    <t>GW(N1)</t>
  </si>
  <si>
    <t>GG</t>
  </si>
  <si>
    <t>GG(N1)</t>
  </si>
  <si>
    <t>GV</t>
  </si>
  <si>
    <t>GV(N1)</t>
  </si>
  <si>
    <t>FP</t>
  </si>
  <si>
    <t>FP(N1)</t>
  </si>
  <si>
    <t>HC</t>
  </si>
  <si>
    <t>HC(N1)</t>
  </si>
  <si>
    <t>FY</t>
  </si>
  <si>
    <t>FY(N1)</t>
  </si>
  <si>
    <t>DJ</t>
  </si>
  <si>
    <t>DJ(N1)</t>
  </si>
  <si>
    <t>GF</t>
  </si>
  <si>
    <t>GF(N1)</t>
  </si>
  <si>
    <t>GU</t>
  </si>
  <si>
    <t>GU(N1)</t>
  </si>
  <si>
    <t>FR</t>
  </si>
  <si>
    <t>FR(N1)</t>
  </si>
  <si>
    <t>GP</t>
  </si>
  <si>
    <t>GP(N1)</t>
  </si>
  <si>
    <t>FT</t>
  </si>
  <si>
    <t>FT(N1)</t>
  </si>
  <si>
    <t>FV</t>
  </si>
  <si>
    <t>FV(N1)</t>
  </si>
  <si>
    <t>FK</t>
  </si>
  <si>
    <t>FJ</t>
  </si>
  <si>
    <t>FL</t>
  </si>
  <si>
    <t>FL(N1)</t>
  </si>
  <si>
    <t>FE</t>
  </si>
  <si>
    <t>FD</t>
  </si>
  <si>
    <t>FF</t>
  </si>
  <si>
    <t>FF(N1)</t>
  </si>
  <si>
    <t>FH</t>
  </si>
  <si>
    <t>FG</t>
  </si>
  <si>
    <t>FI</t>
  </si>
  <si>
    <t>FI(N1)</t>
  </si>
  <si>
    <t>FB</t>
  </si>
  <si>
    <t>FA</t>
  </si>
  <si>
    <t>FC</t>
  </si>
  <si>
    <t>FC(N1)</t>
  </si>
  <si>
    <t>ED</t>
  </si>
  <si>
    <t>ED(N1)</t>
  </si>
  <si>
    <t>EK</t>
  </si>
  <si>
    <t>EK(N1)</t>
  </si>
  <si>
    <t>??</t>
  </si>
  <si>
    <t>(N1)</t>
  </si>
  <si>
    <t>EA</t>
  </si>
  <si>
    <t>EA(N1)</t>
  </si>
  <si>
    <t>DT</t>
  </si>
  <si>
    <t>DT(N1)</t>
  </si>
  <si>
    <t>DG</t>
  </si>
  <si>
    <t>DG(N1)</t>
  </si>
  <si>
    <t>DN</t>
  </si>
  <si>
    <t>DN(N1)</t>
  </si>
  <si>
    <t>DW</t>
  </si>
  <si>
    <t>DW(N1)</t>
  </si>
  <si>
    <t>DA</t>
  </si>
  <si>
    <t>DA(N1)</t>
  </si>
  <si>
    <t>CO5P</t>
  </si>
  <si>
    <t>CO5P(N1)</t>
  </si>
  <si>
    <t>CO6P</t>
  </si>
  <si>
    <t>CO6P(N1)</t>
  </si>
  <si>
    <t>EG</t>
  </si>
  <si>
    <t>EG(N1)</t>
  </si>
  <si>
    <t>DY</t>
  </si>
  <si>
    <t>DY(N1)</t>
  </si>
  <si>
    <t>DX</t>
  </si>
  <si>
    <t>DX(N1)</t>
  </si>
  <si>
    <t>DZ</t>
  </si>
  <si>
    <t>DZ(N1)</t>
  </si>
  <si>
    <t>EH</t>
  </si>
  <si>
    <t>EH(N1)</t>
  </si>
  <si>
    <t>EI</t>
  </si>
  <si>
    <t>EI(N1)</t>
  </si>
  <si>
    <t>EF</t>
  </si>
  <si>
    <t>EF(N1)</t>
  </si>
  <si>
    <t>CO1P</t>
  </si>
  <si>
    <t>CO1P(N1)</t>
  </si>
  <si>
    <t>DC</t>
  </si>
  <si>
    <t>DC(N1)</t>
  </si>
  <si>
    <t>DU</t>
  </si>
  <si>
    <t>DU(N1)</t>
  </si>
  <si>
    <t>DV</t>
  </si>
  <si>
    <t>DV(N1)</t>
  </si>
  <si>
    <t>DS</t>
  </si>
  <si>
    <t>DS(N1)</t>
  </si>
  <si>
    <t>DB</t>
  </si>
  <si>
    <t>DB(N1)</t>
  </si>
  <si>
    <t>DM</t>
  </si>
  <si>
    <t>DM(N1)</t>
  </si>
  <si>
    <t>EB</t>
  </si>
  <si>
    <t>EB(N1)</t>
  </si>
  <si>
    <t>DP</t>
  </si>
  <si>
    <t>DP(N1)</t>
  </si>
  <si>
    <t>DQ</t>
  </si>
  <si>
    <t>DQ(N1)</t>
  </si>
  <si>
    <t>DK</t>
  </si>
  <si>
    <t>DK(N1)</t>
  </si>
  <si>
    <t>DH</t>
  </si>
  <si>
    <t>DH(N1)</t>
  </si>
  <si>
    <t>DD</t>
  </si>
  <si>
    <t>DD(N1)</t>
  </si>
  <si>
    <t>DF</t>
  </si>
  <si>
    <t>DF(N1)</t>
  </si>
  <si>
    <t>DE</t>
  </si>
  <si>
    <t>DE(N1)</t>
  </si>
  <si>
    <t>CO2P</t>
  </si>
  <si>
    <t>CO2P(N1)</t>
  </si>
  <si>
    <t>DO</t>
  </si>
  <si>
    <t>DO(N1)</t>
  </si>
  <si>
    <t>DR</t>
  </si>
  <si>
    <t>DR(N1)</t>
  </si>
  <si>
    <t>EC</t>
  </si>
  <si>
    <t>EC(N1)</t>
  </si>
  <si>
    <t>EE</t>
  </si>
  <si>
    <t>EE(N1)</t>
  </si>
  <si>
    <t>PARIS</t>
  </si>
  <si>
    <t>SAISIE</t>
  </si>
  <si>
    <t>Activités des sociétés holding</t>
  </si>
  <si>
    <t>75013 PARIS</t>
  </si>
  <si>
    <t>6420Z</t>
  </si>
  <si>
    <t>Comptes annuels non confidentiels</t>
  </si>
  <si>
    <t>EUR</t>
  </si>
  <si>
    <t>CORBEIL</t>
  </si>
  <si>
    <t>Commerce de gros (commerce interentreprises) de céréales, de tabac non manufacturé, de semences et d'aliments pour le bétail</t>
  </si>
  <si>
    <t>91150 ETAMPES</t>
  </si>
  <si>
    <t>4621Z</t>
  </si>
  <si>
    <t>SOCIETE COOPERATIVE AGRICOLE ILE DE FRANCE SUD</t>
  </si>
  <si>
    <t>NANTERRE</t>
  </si>
  <si>
    <t>Conseil pour les affaires et autres conseils de gestion</t>
  </si>
  <si>
    <t>7022Z</t>
  </si>
  <si>
    <t>92115 CLICHY CEDEX</t>
  </si>
  <si>
    <t>FINACHEF</t>
  </si>
  <si>
    <t>75007 PARIS</t>
  </si>
  <si>
    <t>SAINTES</t>
  </si>
  <si>
    <t>AGEN</t>
  </si>
  <si>
    <t>BOBIGNY</t>
  </si>
  <si>
    <t>93400 SAINT OUEN</t>
  </si>
  <si>
    <t>REIMS</t>
  </si>
  <si>
    <t>Activités comptables</t>
  </si>
  <si>
    <t>51100 Reims</t>
  </si>
  <si>
    <t>6920Z</t>
  </si>
  <si>
    <t>DAX</t>
  </si>
  <si>
    <t>75116 PARIS</t>
  </si>
  <si>
    <t>LAVAL</t>
  </si>
  <si>
    <t>NIMES</t>
  </si>
  <si>
    <t>VERSAILLES</t>
  </si>
  <si>
    <t>Activités des sièges sociaux</t>
  </si>
  <si>
    <t>7010Z</t>
  </si>
  <si>
    <t>ANGERS</t>
  </si>
  <si>
    <t>NANTES</t>
  </si>
  <si>
    <t>MONTPELLIER</t>
  </si>
  <si>
    <t>Fonds de placement et entités financières similaires</t>
  </si>
  <si>
    <t>6430Z</t>
  </si>
  <si>
    <t>Gestion de fonds</t>
  </si>
  <si>
    <t>6630Z</t>
  </si>
  <si>
    <t>Commerce de gros d'équipements automobiles</t>
  </si>
  <si>
    <t>4531Z</t>
  </si>
  <si>
    <t>AVIGNON</t>
  </si>
  <si>
    <t>CRETEIL</t>
  </si>
  <si>
    <t>Commerce de gros (commerce interentreprises) de fruits et légumes</t>
  </si>
  <si>
    <t>94150 RUNGIS</t>
  </si>
  <si>
    <t>4631Z</t>
  </si>
  <si>
    <t>Location de terrains et d'autres biens immobiliers</t>
  </si>
  <si>
    <t>6820B</t>
  </si>
  <si>
    <t>92100 BOULOGNE BILLANCOURT</t>
  </si>
  <si>
    <t>GRAY</t>
  </si>
  <si>
    <t>ROUEN</t>
  </si>
  <si>
    <t>CHAMBERY</t>
  </si>
  <si>
    <t>CHALON SUR SAONE</t>
  </si>
  <si>
    <t>LYON</t>
  </si>
  <si>
    <t>BERNAY</t>
  </si>
  <si>
    <t>ARRAS</t>
  </si>
  <si>
    <t>Hypermarchés</t>
  </si>
  <si>
    <t>4711F</t>
  </si>
  <si>
    <t>LA ROCHELLE</t>
  </si>
  <si>
    <t>NON SAISI</t>
  </si>
  <si>
    <t>94100 ST MAUR DES FOSSES</t>
  </si>
  <si>
    <t>POITIERS</t>
  </si>
  <si>
    <t>AUXERRE</t>
  </si>
  <si>
    <t>Commerce de détail de livres en magasin spécialisé</t>
  </si>
  <si>
    <t>4761Z</t>
  </si>
  <si>
    <t>PAU</t>
  </si>
  <si>
    <t>75001 PARIS</t>
  </si>
  <si>
    <t>GRENOBLE</t>
  </si>
  <si>
    <t>RENNES</t>
  </si>
  <si>
    <t>Comptes annuels saisis sans anomalie</t>
  </si>
  <si>
    <t>75008 PARIS</t>
  </si>
  <si>
    <t>SAINT ETIENNE</t>
  </si>
  <si>
    <t>ORLEANS</t>
  </si>
  <si>
    <t>Centrales d'achat non alimentaires</t>
  </si>
  <si>
    <t>4619A</t>
  </si>
  <si>
    <t>NICE</t>
  </si>
  <si>
    <t>06000 NICE</t>
  </si>
  <si>
    <t>PONTOISE</t>
  </si>
  <si>
    <t>95310 ST OUEN L AUMONE</t>
  </si>
  <si>
    <t>92500 RUEIL MALMAISON</t>
  </si>
  <si>
    <t>75002 PARIS</t>
  </si>
  <si>
    <t>75019 PARIS</t>
  </si>
  <si>
    <t>DOUAI</t>
  </si>
  <si>
    <t>DRAGUIGNAN</t>
  </si>
  <si>
    <t>83460 Les arcs sur Argens</t>
  </si>
  <si>
    <t>PACA PARTICIPATIONS</t>
  </si>
  <si>
    <t>Commerce de détail d'articles médicaux et orthopédiques en magasin spécialisé</t>
  </si>
  <si>
    <t>30132 CAISSARGUES</t>
  </si>
  <si>
    <t>4774Z</t>
  </si>
  <si>
    <t>BASTIDE LE CONFORT MEDICAL</t>
  </si>
  <si>
    <t>B2017/016428</t>
  </si>
  <si>
    <t>SEDAN</t>
  </si>
  <si>
    <t>08000 WARCQ</t>
  </si>
  <si>
    <t>COFINUR</t>
  </si>
  <si>
    <t>ANNECY</t>
  </si>
  <si>
    <t>74960 ANNECY</t>
  </si>
  <si>
    <t>THELMADIS</t>
  </si>
  <si>
    <t>B2017/012982</t>
  </si>
  <si>
    <t>75009 PARIS</t>
  </si>
  <si>
    <t>BAR LE DUC</t>
  </si>
  <si>
    <t>55100 BRAS-SUR-MEUSE</t>
  </si>
  <si>
    <t>SOCIETE COOPERATIVE AGRICOLE E MC2</t>
  </si>
  <si>
    <t>AMIENS</t>
  </si>
  <si>
    <t>TOULOUSE</t>
  </si>
  <si>
    <t>76000 Rouen</t>
  </si>
  <si>
    <t>Conseil en systèmes et logiciels informatiques</t>
  </si>
  <si>
    <t>6202A</t>
  </si>
  <si>
    <t>LA ROCHE SUR YON</t>
  </si>
  <si>
    <t>69007 LYON</t>
  </si>
  <si>
    <t>AGUETTANT SANTE</t>
  </si>
  <si>
    <t>B2017/026520</t>
  </si>
  <si>
    <t>ALENCON</t>
  </si>
  <si>
    <t>NIORT</t>
  </si>
  <si>
    <t>PERIGUEUX</t>
  </si>
  <si>
    <t>92042 PARIS LA DEFENSE CEDEX</t>
  </si>
  <si>
    <t>64000 Pau</t>
  </si>
  <si>
    <t>85500 LES HERBIERS</t>
  </si>
  <si>
    <t>78260 ACHERES</t>
  </si>
  <si>
    <t>ACHERES EXPANSION</t>
  </si>
  <si>
    <t>Autres activités de soutien aux entreprises n.c.a.</t>
  </si>
  <si>
    <t>92190 MEUDON</t>
  </si>
  <si>
    <t>8299Z</t>
  </si>
  <si>
    <t>D.FI</t>
  </si>
  <si>
    <t>RODEZ</t>
  </si>
  <si>
    <t>COUTANCES</t>
  </si>
  <si>
    <t>50180 Agneaux</t>
  </si>
  <si>
    <t>TOUSPORTS</t>
  </si>
  <si>
    <t>84130 Le Pontet</t>
  </si>
  <si>
    <t>92000 NANTERRE</t>
  </si>
  <si>
    <t>75015 PARIS</t>
  </si>
  <si>
    <t>PERPIGNAN</t>
  </si>
  <si>
    <t>BAYONNE</t>
  </si>
  <si>
    <t>64100 Bayonne</t>
  </si>
  <si>
    <t>75017 PARIS</t>
  </si>
  <si>
    <t>CHALONS SUR MARNE</t>
  </si>
  <si>
    <t>51520 SAINT-MARTIN-SUR-LE-PRE</t>
  </si>
  <si>
    <t>ROMANS</t>
  </si>
  <si>
    <t>92300 LEVALLOIS PERRET</t>
  </si>
  <si>
    <t>75006 PARIS</t>
  </si>
  <si>
    <t>61100 Flers</t>
  </si>
  <si>
    <t>SAS CYCHAGA B.</t>
  </si>
  <si>
    <t>LILLE METROPOLE</t>
  </si>
  <si>
    <t>Fabrication de meubles de bureau et de magasin</t>
  </si>
  <si>
    <t>3101Z</t>
  </si>
  <si>
    <t>69800 SAINT-PRIEST</t>
  </si>
  <si>
    <t>BOURG EN BRESSE</t>
  </si>
  <si>
    <t>TOURS</t>
  </si>
  <si>
    <t>DIJON</t>
  </si>
  <si>
    <t>Transports routiers de fret interurbains</t>
  </si>
  <si>
    <t>4941A</t>
  </si>
  <si>
    <t>Autres activités manufacturières n.c.a.</t>
  </si>
  <si>
    <t>75014 PARIS</t>
  </si>
  <si>
    <t>3299Z</t>
  </si>
  <si>
    <t>ST DUPONT</t>
  </si>
  <si>
    <t>69009 LYON</t>
  </si>
  <si>
    <t>44400 REZE</t>
  </si>
  <si>
    <t>SAS GATHIC</t>
  </si>
  <si>
    <t>BESANCON</t>
  </si>
  <si>
    <t>ANGOULEME</t>
  </si>
  <si>
    <t>Ingénierie, études techniques</t>
  </si>
  <si>
    <t>7112B</t>
  </si>
  <si>
    <t>Commerce de gros (commerce interentreprises) d'ordinateurs, d'équipements informatiques périphériques et de logiciels</t>
  </si>
  <si>
    <t>59273 FRETIN</t>
  </si>
  <si>
    <t>4651Z</t>
  </si>
  <si>
    <t>BIGBEN INTERACTIVE Nom Commercial : BIGBEN</t>
  </si>
  <si>
    <t>BORDEAUX</t>
  </si>
  <si>
    <t>80136 RIVERY</t>
  </si>
  <si>
    <t>RIVERY EXPLOITATION</t>
  </si>
  <si>
    <t>B2017/006234</t>
  </si>
  <si>
    <t>Edition de logiciels applicatifs</t>
  </si>
  <si>
    <t>5829C</t>
  </si>
  <si>
    <t>MONTAUBAN</t>
  </si>
  <si>
    <t>Promotion immobilière de logements</t>
  </si>
  <si>
    <t>4110A</t>
  </si>
  <si>
    <t>DUNKERQUE</t>
  </si>
  <si>
    <t>59173 RENESCURE</t>
  </si>
  <si>
    <t>BONDUELLE</t>
  </si>
  <si>
    <t>AIX EN PROVENCE</t>
  </si>
  <si>
    <t>CHARTRES</t>
  </si>
  <si>
    <t>LIBOURNE</t>
  </si>
  <si>
    <t>VIENNE</t>
  </si>
  <si>
    <t>Fabrication d'équipements de communication</t>
  </si>
  <si>
    <t>2630Z</t>
  </si>
  <si>
    <t>13480 Cabriès</t>
  </si>
  <si>
    <t>AMBEMAR</t>
  </si>
  <si>
    <t>33230 COUTRAS</t>
  </si>
  <si>
    <t>SODISCAM</t>
  </si>
  <si>
    <t>91370 VERRIERES LE BUISSON</t>
  </si>
  <si>
    <t>MONTLUCON</t>
  </si>
  <si>
    <t>CAEN</t>
  </si>
  <si>
    <t>4120B</t>
  </si>
  <si>
    <t>Supports juridiques de gestion de patrimoine mobilier</t>
  </si>
  <si>
    <t>6619A</t>
  </si>
  <si>
    <t>59540 Caudry</t>
  </si>
  <si>
    <t>CAUDIS EXPLOITATION</t>
  </si>
  <si>
    <t>93400 ST OUEN</t>
  </si>
  <si>
    <t>17000 La Rochelle</t>
  </si>
  <si>
    <t>Commerce de gros (commerce interentreprises) d'autres biens domestiques</t>
  </si>
  <si>
    <t>49320 BRISSAC LOIRE AUBANCE</t>
  </si>
  <si>
    <t>4649Z</t>
  </si>
  <si>
    <t>SOCIETE ANGEVINE D EDITION ET DE LIBRAIRIE</t>
  </si>
  <si>
    <t>MARSEILLE</t>
  </si>
  <si>
    <t>5821Z</t>
  </si>
  <si>
    <t>CLERMONT FERRAND</t>
  </si>
  <si>
    <t>91940 LES ULIS</t>
  </si>
  <si>
    <t>M.I.H.</t>
  </si>
  <si>
    <t>MEAUX</t>
  </si>
  <si>
    <t>CARCASSONNE</t>
  </si>
  <si>
    <t>38530 PONTCHARRA</t>
  </si>
  <si>
    <t>STPA HOLDING</t>
  </si>
  <si>
    <t>B2017/014221</t>
  </si>
  <si>
    <t>NANCY</t>
  </si>
  <si>
    <t>MANOSQUE</t>
  </si>
  <si>
    <t>5829A</t>
  </si>
  <si>
    <t>ROANNE</t>
  </si>
  <si>
    <t>Activités des agences de publicité</t>
  </si>
  <si>
    <t>7311Z</t>
  </si>
  <si>
    <t>Fabrication de fromage</t>
  </si>
  <si>
    <t>1051C</t>
  </si>
  <si>
    <t>AURILLAC</t>
  </si>
  <si>
    <t>15000 AURILLAC</t>
  </si>
  <si>
    <t>69200 VENISSIEUX</t>
  </si>
  <si>
    <t>Commerce de gros (commerce interentreprises) de composants et d'équipements électroniques et de télécommunication</t>
  </si>
  <si>
    <t>4652Z</t>
  </si>
  <si>
    <t>CUSSET</t>
  </si>
  <si>
    <t>03300 Cusset</t>
  </si>
  <si>
    <t>LIMOGES</t>
  </si>
  <si>
    <t>87000 Limoges</t>
  </si>
  <si>
    <t>92800 PUTEAUX</t>
  </si>
  <si>
    <t>21200 Beaune</t>
  </si>
  <si>
    <t>COMPIEGNE</t>
  </si>
  <si>
    <t>47400 Tonneins</t>
  </si>
  <si>
    <t>33520 BRUGES</t>
  </si>
  <si>
    <t>Fabrication d'autres machines spécialisées</t>
  </si>
  <si>
    <t>2899B</t>
  </si>
  <si>
    <t>SOFTBANK ROBOTICS EUROPE</t>
  </si>
  <si>
    <t>75016 PARIS</t>
  </si>
  <si>
    <t>Autres activités auxiliaires de services financiers, hors assurance et caisses de retraite, n.c.a.</t>
  </si>
  <si>
    <t>6619B</t>
  </si>
  <si>
    <t>13008 MARSEILLE</t>
  </si>
  <si>
    <t>S.P.C. HOLDING</t>
  </si>
  <si>
    <t>78280 GUYANCOURT</t>
  </si>
  <si>
    <t>SAINT NAZAIRE</t>
  </si>
  <si>
    <t>BRIVE</t>
  </si>
  <si>
    <t>19240 ST VIANCE</t>
  </si>
  <si>
    <t>F.G.M.</t>
  </si>
  <si>
    <t>59240 DUNKERQUE</t>
  </si>
  <si>
    <t>LAJESCLO</t>
  </si>
  <si>
    <t>SICA SA EUREA COOP</t>
  </si>
  <si>
    <t>69260 CHARBONNIERES-LES-BAINS</t>
  </si>
  <si>
    <t>2JEANFC</t>
  </si>
  <si>
    <t>GROUPE SWS</t>
  </si>
  <si>
    <t>RAMSAY GENERALE DE SANTE</t>
  </si>
  <si>
    <t>01540 Vonnas</t>
  </si>
  <si>
    <t>SOREAL</t>
  </si>
  <si>
    <t>37320 ESVRES</t>
  </si>
  <si>
    <t>ALLIAGE</t>
  </si>
  <si>
    <t>24600 Ribérac</t>
  </si>
  <si>
    <t>49400 Saumur</t>
  </si>
  <si>
    <t>CESAR</t>
  </si>
  <si>
    <t>49130 Les Ponts-de-Cé</t>
  </si>
  <si>
    <t>FLEURON D ANJOU</t>
  </si>
  <si>
    <t>92120 MONTROUGE</t>
  </si>
  <si>
    <t>13581 MARSEILLE CEDEX 20</t>
  </si>
  <si>
    <t>GROUPE SVP</t>
  </si>
  <si>
    <t>LORIENT</t>
  </si>
  <si>
    <t>85160 SAINT-JEAN-DE-MONTS</t>
  </si>
  <si>
    <t>SODISMONTS</t>
  </si>
  <si>
    <t>69008 LYON</t>
  </si>
  <si>
    <t>FIVER</t>
  </si>
  <si>
    <t>B2017/028950</t>
  </si>
  <si>
    <t>LE MANS</t>
  </si>
  <si>
    <t>54250 Champigneulles</t>
  </si>
  <si>
    <t>GNT DEVELOPPEMENT</t>
  </si>
  <si>
    <t>Autres activités des services financiers, hors assurance et caisses de retraite, n.c.a.</t>
  </si>
  <si>
    <t>6499Z</t>
  </si>
  <si>
    <t>92700 COLOMBES</t>
  </si>
  <si>
    <t>SAINT BRIEUC</t>
  </si>
  <si>
    <t>MONT DE MARSAN</t>
  </si>
  <si>
    <t>CANNES</t>
  </si>
  <si>
    <t>16100 Cognac</t>
  </si>
  <si>
    <t>CAMUS HOLDINGS</t>
  </si>
  <si>
    <t>MELUN</t>
  </si>
  <si>
    <t>Culture de légumes, de melons, de racines et de tubercules</t>
  </si>
  <si>
    <t>56170 Quiberon</t>
  </si>
  <si>
    <t>0113Z</t>
  </si>
  <si>
    <t>COTE NATURE DEVELOPPEMENT</t>
  </si>
  <si>
    <t>TROYES</t>
  </si>
  <si>
    <t>10700 Villette-sur-Aube</t>
  </si>
  <si>
    <t>SCA DE LA REGION D ARCIS SUR AUBE</t>
  </si>
  <si>
    <t>ASSE GROUPE</t>
  </si>
  <si>
    <t>GROUPE PREMIUM</t>
  </si>
  <si>
    <t>5814Z</t>
  </si>
  <si>
    <t>BAYARD PRESSE</t>
  </si>
  <si>
    <t>95250 BEAUCHAMP</t>
  </si>
  <si>
    <t>LACROIX PARTICIPATIONS ET SERVICES (en abrégé L.P.S)</t>
  </si>
  <si>
    <t>45300 PITHIVIERS</t>
  </si>
  <si>
    <t>PAVI HOLDING</t>
  </si>
  <si>
    <t>92250 LA GARENNE COLOMBES</t>
  </si>
  <si>
    <t>DIEPPE</t>
  </si>
  <si>
    <t>Commerce de gros (commerce interentreprises) de bois et de matériaux de construction</t>
  </si>
  <si>
    <t>76950 Les Grandes Ventes</t>
  </si>
  <si>
    <t>4673A</t>
  </si>
  <si>
    <t>FREJUS</t>
  </si>
  <si>
    <t>38240 MEYLAN</t>
  </si>
  <si>
    <t>Autres activités d'édition</t>
  </si>
  <si>
    <t>5819Z</t>
  </si>
  <si>
    <t>NOVA GROUPE S.A.</t>
  </si>
  <si>
    <t>34170 Castelnau-le-Lez</t>
  </si>
  <si>
    <t>LOGITRADE HOLDING</t>
  </si>
  <si>
    <t>84300 CAVAILLON</t>
  </si>
  <si>
    <t>JOUFFRET ET SES ENFANTS</t>
  </si>
  <si>
    <t>CAHORS</t>
  </si>
  <si>
    <t>95390 ST PRIX</t>
  </si>
  <si>
    <t>FINANCIERE AVJ</t>
  </si>
  <si>
    <t>YABE</t>
  </si>
  <si>
    <t>SAS JBERT</t>
  </si>
  <si>
    <t>17400 Saint-Jean-d'Angély</t>
  </si>
  <si>
    <t>SOCIETE COOPERATIVE AGRICOLE TERRE ATLANTIQUE</t>
  </si>
  <si>
    <t>10400 Nogent-sur-Seine</t>
  </si>
  <si>
    <t>ETABLISSEMENTS J. SOUFFLET</t>
  </si>
  <si>
    <t>Commerce de détail d'articles de sport en magasin spécialisé</t>
  </si>
  <si>
    <t>73230 Saint-Alban-Leysse</t>
  </si>
  <si>
    <t>4764Z</t>
  </si>
  <si>
    <t>FRASTEYA</t>
  </si>
  <si>
    <t>VAL LIMAGNE.COOP</t>
  </si>
  <si>
    <t>46200 Souillac</t>
  </si>
  <si>
    <t>STA FINANCE</t>
  </si>
  <si>
    <t>45100 ORLEANS</t>
  </si>
  <si>
    <t>51500 Champfleury</t>
  </si>
  <si>
    <t>FANPAG</t>
  </si>
  <si>
    <t>17500 Jonzac</t>
  </si>
  <si>
    <t>EJ FINANCES II</t>
  </si>
  <si>
    <t>51300 VITRY-LE-FRANCOIS</t>
  </si>
  <si>
    <t>VIDIS</t>
  </si>
  <si>
    <t>38200 VIENNE</t>
  </si>
  <si>
    <t>59840 LOMPRET</t>
  </si>
  <si>
    <t>13016 MARSEILLE</t>
  </si>
  <si>
    <t>40150 Soorts-Hossegor</t>
  </si>
  <si>
    <t>1419Z</t>
  </si>
  <si>
    <t>RIP CURL EUROPE</t>
  </si>
  <si>
    <t>31800 ESTANCARBON</t>
  </si>
  <si>
    <t>HS2</t>
  </si>
  <si>
    <t>B2017/030031</t>
  </si>
  <si>
    <t>OCEALIA</t>
  </si>
  <si>
    <t>LE HAVRE</t>
  </si>
  <si>
    <t>76600 Le Havre</t>
  </si>
  <si>
    <t>DUDAS DEFFONTAINE PARTICIPATIONS</t>
  </si>
  <si>
    <t>17180 Périgny</t>
  </si>
  <si>
    <t>CGR CINEMAS</t>
  </si>
  <si>
    <t>72400 La ferte Bernard</t>
  </si>
  <si>
    <t>SERAC HOLDING</t>
  </si>
  <si>
    <t>YERAZ</t>
  </si>
  <si>
    <t>45260 LORRIS</t>
  </si>
  <si>
    <t>ARYS HOLDING</t>
  </si>
  <si>
    <t>92420 VAUCRESSON</t>
  </si>
  <si>
    <t>AURIES CLOUD CONSULTING</t>
  </si>
  <si>
    <t>64370 Arthez-de-Béarn</t>
  </si>
  <si>
    <t>LACADEE INVESTISSEMENTS</t>
  </si>
  <si>
    <t>HELIOS</t>
  </si>
  <si>
    <t>04100 Manosque</t>
  </si>
  <si>
    <t>ALPIX</t>
  </si>
  <si>
    <t>31180 ROUFFIAC-TOLOSAN</t>
  </si>
  <si>
    <t>LTMO</t>
  </si>
  <si>
    <t>B2017/026281</t>
  </si>
  <si>
    <t>72300 Sable sur Sarthe</t>
  </si>
  <si>
    <t>SOCIETE LDC</t>
  </si>
  <si>
    <t>ACTIVE'INVEST</t>
  </si>
  <si>
    <t>ALTIS +</t>
  </si>
  <si>
    <t>35360 MONTAUBAN DE BRETAGNE</t>
  </si>
  <si>
    <t>AZENN HOLDING DEVELOPPEMENT</t>
  </si>
  <si>
    <t>49480 Verrières- en- Anjou</t>
  </si>
  <si>
    <t>CETI</t>
  </si>
  <si>
    <t>03220 Treteau</t>
  </si>
  <si>
    <t>COOPERATIVE AGRICOLE DE CEREALES ET D APPROVISIONNEMENT DE T</t>
  </si>
  <si>
    <t>17100 Saintes</t>
  </si>
  <si>
    <t>HAURION</t>
  </si>
  <si>
    <t>SILOS SOUFFLET</t>
  </si>
  <si>
    <t>Production de boissons alcooliques distillées</t>
  </si>
  <si>
    <t>1101Z</t>
  </si>
  <si>
    <t>UNICOOP - UNION COOPERATIVE DE VITICULTEURS CHARENTAIS - COO</t>
  </si>
  <si>
    <t>Commerce de détail d'habillement en magasin spécialisé</t>
  </si>
  <si>
    <t>4771Z</t>
  </si>
  <si>
    <t>69370 SAINT-DIDIER-AU-MONT-D'OR</t>
  </si>
  <si>
    <t>ALLIANDO</t>
  </si>
  <si>
    <t>13790 Peynier</t>
  </si>
  <si>
    <t>PLASMA INVEST</t>
  </si>
  <si>
    <t>44250 SAINT-BREVIN-LES-PINS</t>
  </si>
  <si>
    <t>G.F.J. INVESTISSEMENTS</t>
  </si>
  <si>
    <t>60280 CLAIROIX</t>
  </si>
  <si>
    <t>AGORA</t>
  </si>
  <si>
    <t>40140 Soustons</t>
  </si>
  <si>
    <t>BEARN DISTRIBUTION</t>
  </si>
  <si>
    <t>MACON</t>
  </si>
  <si>
    <t>71120 CHAROLLES</t>
  </si>
  <si>
    <t>SOCIETE COOPERATIVE AGRICOLE TEOL</t>
  </si>
  <si>
    <t>Activités de clubs de sports</t>
  </si>
  <si>
    <t>06200 NICE</t>
  </si>
  <si>
    <t>9312Z</t>
  </si>
  <si>
    <t>SASP OLYMPIQUE GYMNASTE CLUB DE NICE COTE D'AZUR</t>
  </si>
  <si>
    <t>Installation de structures métalliques, chaudronnées et de tuyauterie</t>
  </si>
  <si>
    <t>76430 Sandouville</t>
  </si>
  <si>
    <t>3320A</t>
  </si>
  <si>
    <t>CATS - COMPAGNIE D ASSISTANCE TECHNIQUE ET SERVICES</t>
  </si>
  <si>
    <t>26000 VALENCE</t>
  </si>
  <si>
    <t>TARASCON</t>
  </si>
  <si>
    <t>71000 MACON</t>
  </si>
  <si>
    <t>Fabrication de matériel de levage et de manutention</t>
  </si>
  <si>
    <t>2822Z</t>
  </si>
  <si>
    <t>Téléphériques et remontées mécaniques</t>
  </si>
  <si>
    <t>4939C</t>
  </si>
  <si>
    <t>Vente à distance sur catalogue spécialisé</t>
  </si>
  <si>
    <t>69578 LIMONEST CEDEX</t>
  </si>
  <si>
    <t>4791B</t>
  </si>
  <si>
    <t>GROUPE LDLC</t>
  </si>
  <si>
    <t>B2017/045116</t>
  </si>
  <si>
    <t>14740 Thue et mue</t>
  </si>
  <si>
    <t>COOPERATIVE METROPOLITAINE D ENTREPRISE GENERALE</t>
  </si>
  <si>
    <t>LE PUY</t>
  </si>
  <si>
    <t>43370 SOLIGNAC-SUR-LOIRE</t>
  </si>
  <si>
    <t>GAUTHIER FINANCE</t>
  </si>
  <si>
    <t>B2017/003985</t>
  </si>
  <si>
    <t>92240 MALAKOFF</t>
  </si>
  <si>
    <t>38130 ECHIROLLES</t>
  </si>
  <si>
    <t>SOFIDIS</t>
  </si>
  <si>
    <t>SOCIETE D'INVESTISSEMENT BASTIDE</t>
  </si>
  <si>
    <t>FOLIATEAM GROUP</t>
  </si>
  <si>
    <t>UNISEL</t>
  </si>
  <si>
    <t>NEFTYS.PHARMA</t>
  </si>
  <si>
    <t>91700 FLEURY MEROGIS</t>
  </si>
  <si>
    <t>BOVIS PARTICIPATION</t>
  </si>
  <si>
    <t>11451 Castelnaudary</t>
  </si>
  <si>
    <t>SOCIETE COOPERATIVE AGRICOLE ARTERRIS</t>
  </si>
  <si>
    <t>51370 Saint-Brice-Courcelles</t>
  </si>
  <si>
    <t>CHAMDIS</t>
  </si>
  <si>
    <t>HOLDING FLOBER</t>
  </si>
  <si>
    <t>Fabrication d'aliments pour animaux de ferme</t>
  </si>
  <si>
    <t>1091Z</t>
  </si>
  <si>
    <t>84500 Bollène</t>
  </si>
  <si>
    <t>LOMA-DIS</t>
  </si>
  <si>
    <t>87220 Feytiat</t>
  </si>
  <si>
    <t>FRANALIS</t>
  </si>
  <si>
    <t>74000 ANNECY</t>
  </si>
  <si>
    <t>56700 Hennebont</t>
  </si>
  <si>
    <t>FIDES</t>
  </si>
  <si>
    <t>59100 ROUBAIX</t>
  </si>
  <si>
    <t>62000 Dainville</t>
  </si>
  <si>
    <t>FINANCIERE DAINVILLE</t>
  </si>
  <si>
    <t>CHAUMONT</t>
  </si>
  <si>
    <t>59190 HAZEBROUCK</t>
  </si>
  <si>
    <t>FINANCIERE DOMART</t>
  </si>
  <si>
    <t>B2017/001836</t>
  </si>
  <si>
    <t>71600 PARAY-LE-MONIAL</t>
  </si>
  <si>
    <t>ALTHO</t>
  </si>
  <si>
    <t>SALON</t>
  </si>
  <si>
    <t>92220 BAGNEUX</t>
  </si>
  <si>
    <t>NEOPOST SA</t>
  </si>
  <si>
    <t>Traitement de données, hébergement et activités connexes</t>
  </si>
  <si>
    <t>6311Z</t>
  </si>
  <si>
    <t>Centrales d'achat alimentaires</t>
  </si>
  <si>
    <t>4617A</t>
  </si>
  <si>
    <t>Commerce de gros (commerce interentreprises) de matériel agricole</t>
  </si>
  <si>
    <t>4661Z</t>
  </si>
  <si>
    <t>LISIEUX</t>
  </si>
  <si>
    <t>Commerce de gros (commerce interentreprises) de poissons, crustacés et mollusques</t>
  </si>
  <si>
    <t>4638A</t>
  </si>
  <si>
    <t>69410 CHAMPAGNE-AU-MONT-D'OR</t>
  </si>
  <si>
    <t>74150 RUMILLY</t>
  </si>
  <si>
    <t>46100 Capdenac-le-Haut</t>
  </si>
  <si>
    <t>HOLDSOCAP</t>
  </si>
  <si>
    <t>Autre imprimerie (labeur)</t>
  </si>
  <si>
    <t>69610 HAUTE-RIVOIRE</t>
  </si>
  <si>
    <t>1812Z</t>
  </si>
  <si>
    <t>PRISMAFLEX INTERNATIONAL</t>
  </si>
  <si>
    <t>B2017/048121</t>
  </si>
  <si>
    <t>83310 Cogolin</t>
  </si>
  <si>
    <t>ALJOBERGUI</t>
  </si>
  <si>
    <t>52200 Saints-Geosmes</t>
  </si>
  <si>
    <t>A.J.F</t>
  </si>
  <si>
    <t>37210 PARCAY-MESLAY</t>
  </si>
  <si>
    <t>VAL DE FRANCE INFORMATIQUE</t>
  </si>
  <si>
    <t>76430 Saint-Romain-de-Colbosc</t>
  </si>
  <si>
    <t>GROUPE PARMENTIER CONSTRUCTIONS</t>
  </si>
  <si>
    <t>Commerce de gros (commerce interentreprises) de produits chimiques</t>
  </si>
  <si>
    <t>56300 Pontivy</t>
  </si>
  <si>
    <t>4675Z</t>
  </si>
  <si>
    <t>ELIARD-SPCP</t>
  </si>
  <si>
    <t>ISEKI France Holding S.A.S</t>
  </si>
  <si>
    <t>51420 Witry-lès-Reims</t>
  </si>
  <si>
    <t>AMP FINANCIERE</t>
  </si>
  <si>
    <t>GROUPE ALVAREZ</t>
  </si>
  <si>
    <t>35650 LE RHEU</t>
  </si>
  <si>
    <t>KAKI CRAZY</t>
  </si>
  <si>
    <t>38590 SAINT-ETIENNE-DE-SAINT-GEOIRS</t>
  </si>
  <si>
    <t>AVENIR TELECOM</t>
  </si>
  <si>
    <t>56400 Plougoumelen</t>
  </si>
  <si>
    <t>BACK EUROP FRANCE</t>
  </si>
  <si>
    <t>ROYAUME-UNI</t>
  </si>
  <si>
    <t>CANACCORD GENUITY LIMITED</t>
  </si>
  <si>
    <t>82000 Montauban</t>
  </si>
  <si>
    <t>74400 CHAMONIX-MONT-BLANC</t>
  </si>
  <si>
    <t>COMPAGNIE DU MONT-BLANC</t>
  </si>
  <si>
    <t>B2017/013642</t>
  </si>
  <si>
    <t>45600 ST PERE SUR LOIRE</t>
  </si>
  <si>
    <t>FINANCIERE PERDIS</t>
  </si>
  <si>
    <t>MARGO INVESTISSEMENTS</t>
  </si>
  <si>
    <t>B2017/015617</t>
  </si>
  <si>
    <t>FJMN</t>
  </si>
  <si>
    <t>ESLC ENERGIES</t>
  </si>
  <si>
    <t>B2017/045207</t>
  </si>
  <si>
    <t>91100 CORBEIL ESSONNES</t>
  </si>
  <si>
    <t>LG INVESTISSEMENT</t>
  </si>
  <si>
    <t>ANTEMETA FINANCES</t>
  </si>
  <si>
    <t>59810 LESQUIN</t>
  </si>
  <si>
    <t>SA GENERIX</t>
  </si>
  <si>
    <t>77160 Saint-Brice</t>
  </si>
  <si>
    <t>BOUCHARD HOLDING</t>
  </si>
  <si>
    <t>13600 LA CIOTAT</t>
  </si>
  <si>
    <t>CW FINANCE</t>
  </si>
  <si>
    <t>De Fursac Finance</t>
  </si>
  <si>
    <t>COMPAGNIE TRANSPORTS D'EQUIPEMENTS DE LEVAGE</t>
  </si>
  <si>
    <t>76770 Le Houlme</t>
  </si>
  <si>
    <t>SOFIMAC</t>
  </si>
  <si>
    <t>B2017/002992</t>
  </si>
  <si>
    <t>33100 BORDEAUX</t>
  </si>
  <si>
    <t>31670 LABEGE CEDEX</t>
  </si>
  <si>
    <t>Financière Eurogiciel</t>
  </si>
  <si>
    <t>17260 Gémozac</t>
  </si>
  <si>
    <t>HOLDING FAMILIALE ISIDORE - H.F.I.</t>
  </si>
  <si>
    <t>GEEK INVEST</t>
  </si>
  <si>
    <t>FINANCIERE SPL</t>
  </si>
  <si>
    <t>Agences immobilières</t>
  </si>
  <si>
    <t>6831Z</t>
  </si>
  <si>
    <t>COMPAGNIE FIDUCIAIRE</t>
  </si>
  <si>
    <t>17800 Pons</t>
  </si>
  <si>
    <t>HOLDISTOUR</t>
  </si>
  <si>
    <t>REMA YOU PERFORMANCE</t>
  </si>
  <si>
    <t>91070 BONDOUFLE</t>
  </si>
  <si>
    <t>35460 MAEN ROCH</t>
  </si>
  <si>
    <t>GORRONDIS</t>
  </si>
  <si>
    <t>47300 Villeneuve-sur-Lot</t>
  </si>
  <si>
    <t>Amplitude Surgical</t>
  </si>
  <si>
    <t>ALBI</t>
  </si>
  <si>
    <t>Construction d'autres ouvrages de génie civil n.c.a.</t>
  </si>
  <si>
    <t>4299Z</t>
  </si>
  <si>
    <t>GRANDFATHER</t>
  </si>
  <si>
    <t>44110 CHATEAUBRIANT</t>
  </si>
  <si>
    <t>43000 AIGUILHE</t>
  </si>
  <si>
    <t>CABAJUFI</t>
  </si>
  <si>
    <t>94550 CHEVILLY LARUE</t>
  </si>
  <si>
    <t>66000 PERPIGNAN</t>
  </si>
  <si>
    <t>SAS CHRISAB</t>
  </si>
  <si>
    <t>B2017/006476</t>
  </si>
  <si>
    <t>Mécanique industrielle</t>
  </si>
  <si>
    <t>46100 Figeac</t>
  </si>
  <si>
    <t>2562B</t>
  </si>
  <si>
    <t>FIGEAC AERO</t>
  </si>
  <si>
    <t>22290 Lanvollon</t>
  </si>
  <si>
    <t>SOFIPA</t>
  </si>
  <si>
    <t>60300 Senlis</t>
  </si>
  <si>
    <t>COOPERATIVE AGRICOLE VALFRANCE</t>
  </si>
  <si>
    <t>EXECUTIVE IT</t>
  </si>
  <si>
    <t>13800 ISTRES</t>
  </si>
  <si>
    <t>BOCQISTRES</t>
  </si>
  <si>
    <t>89170 SAINT-FARGEAU</t>
  </si>
  <si>
    <t>CLEANDRE</t>
  </si>
  <si>
    <t>31150 LESPINASSE</t>
  </si>
  <si>
    <t>TROIS MATS</t>
  </si>
  <si>
    <t>B2017/027617</t>
  </si>
  <si>
    <t>42350 La Talaudière</t>
  </si>
  <si>
    <t>LA BOUDINIERE</t>
  </si>
  <si>
    <t>93140 BONDY</t>
  </si>
  <si>
    <t>TRANSPORTS PREVOST</t>
  </si>
  <si>
    <t>38920 CROLLES</t>
  </si>
  <si>
    <t>35200 Rennes</t>
  </si>
  <si>
    <t>Fabrication de produits électroniques grand public</t>
  </si>
  <si>
    <t>60128 Plailly</t>
  </si>
  <si>
    <t>2640Z</t>
  </si>
  <si>
    <t>NEXO</t>
  </si>
  <si>
    <t>01000 Bourg-en-Bresse</t>
  </si>
  <si>
    <t>54200 Dommartin-les-Toul</t>
  </si>
  <si>
    <t>FINANCIERE DE DOMMARTIN - FIDOM</t>
  </si>
  <si>
    <t>34130 Saint-Aunès</t>
  </si>
  <si>
    <t>LP EXPANSION</t>
  </si>
  <si>
    <t>63560 Menat</t>
  </si>
  <si>
    <t>AGRO SERVICE DEVELOPPEMENT</t>
  </si>
  <si>
    <t>14800 Touques</t>
  </si>
  <si>
    <t>51150 Tours-sur-Marne</t>
  </si>
  <si>
    <t>LAURENT-PERRIER</t>
  </si>
  <si>
    <t>PRIAMS</t>
  </si>
  <si>
    <t>SPH HOLDING</t>
  </si>
  <si>
    <t>01700 Beynost</t>
  </si>
  <si>
    <t>53000 Laval</t>
  </si>
  <si>
    <t>SOCOPAL FINANCE</t>
  </si>
  <si>
    <t>35000 RENNES</t>
  </si>
  <si>
    <t>38307 BOURGOIN-JALLIEU</t>
  </si>
  <si>
    <t>BOURGOIN DISTRIBUTION</t>
  </si>
  <si>
    <t>B2017/006007</t>
  </si>
  <si>
    <t>28400 MARGON</t>
  </si>
  <si>
    <t>HD HOLDING</t>
  </si>
  <si>
    <t>B2017/005499</t>
  </si>
  <si>
    <t>51230 Corroy</t>
  </si>
  <si>
    <t>ALEXANDRE MARTEL</t>
  </si>
  <si>
    <t>ENGINEERING AND FINANCE PARTNERS</t>
  </si>
  <si>
    <t>70300 Luxeuil-les-Bains</t>
  </si>
  <si>
    <t>MILEXIA DEVELOPPEMENT</t>
  </si>
  <si>
    <t>28150 BOISVILLE-LA-SAINT-PERE</t>
  </si>
  <si>
    <t>LVMF LECOQ</t>
  </si>
  <si>
    <t>B2017/005427</t>
  </si>
  <si>
    <t>CAPELLI</t>
  </si>
  <si>
    <t>B2017/040963</t>
  </si>
  <si>
    <t>34920 Le Cres</t>
  </si>
  <si>
    <t>BATLA MINERALS</t>
  </si>
  <si>
    <t>MBO GROUPE</t>
  </si>
  <si>
    <t>B2017/008549</t>
  </si>
  <si>
    <t>B2017/012731</t>
  </si>
  <si>
    <t>LA COMPAGNIE DES ECREHOUS</t>
  </si>
  <si>
    <t>AHADI</t>
  </si>
  <si>
    <t>92441 ISSY LES MOULINEAUX CEDEX</t>
  </si>
  <si>
    <t>PACTE NOVATION</t>
  </si>
  <si>
    <t>25330 Cléron</t>
  </si>
  <si>
    <t>SA PERRIN VERMOT</t>
  </si>
  <si>
    <t>LES VERGERS DE BLUE WHALE UNION DE COOPERATIVES AGRICOLES</t>
  </si>
  <si>
    <t>MARSAFI</t>
  </si>
  <si>
    <t>BATEDIS</t>
  </si>
  <si>
    <t>59700 MARCQ-EN-BAROEUL</t>
  </si>
  <si>
    <t>92290 CHATENAY MALABRY</t>
  </si>
  <si>
    <t>92300 LEVALLOIS-PERRET</t>
  </si>
  <si>
    <t>81000 Albi</t>
  </si>
  <si>
    <t>26200 MONTELIMAR</t>
  </si>
  <si>
    <t>53400 Craon</t>
  </si>
  <si>
    <t>SOVAL</t>
  </si>
  <si>
    <t>69730 GENAY</t>
  </si>
  <si>
    <t>JAXAL</t>
  </si>
  <si>
    <t>B2017/009891</t>
  </si>
  <si>
    <t>GYMINVEST</t>
  </si>
  <si>
    <t>Fabrication d'emballages en bois</t>
  </si>
  <si>
    <t>21190 ST ROMAIN</t>
  </si>
  <si>
    <t>1624Z</t>
  </si>
  <si>
    <t>TONNELLERIE FRANCOIS FRERES</t>
  </si>
  <si>
    <t>SDC HOLDING</t>
  </si>
  <si>
    <t>70800 Saint-loup-sur-Semouse</t>
  </si>
  <si>
    <t>P3G Participations</t>
  </si>
  <si>
    <t>13200 Arles</t>
  </si>
  <si>
    <t>Télécommunications par satellite</t>
  </si>
  <si>
    <t>6130Z</t>
  </si>
  <si>
    <t>EUTELSAT S A</t>
  </si>
  <si>
    <t>64400 Oloron-Sainte-Marie</t>
  </si>
  <si>
    <t>FINANCIERE DE L ESSOR</t>
  </si>
  <si>
    <t>35510 CESSON SEVIGNE</t>
  </si>
  <si>
    <t>Fabrication de carrosseries et remorques</t>
  </si>
  <si>
    <t>38320 EYBENS</t>
  </si>
  <si>
    <t>2920Z</t>
  </si>
  <si>
    <t>SD SERVICES</t>
  </si>
  <si>
    <t>B2017/015049</t>
  </si>
  <si>
    <t>Agencement de lieux de vente</t>
  </si>
  <si>
    <t>38640 CLAIX</t>
  </si>
  <si>
    <t>4332C</t>
  </si>
  <si>
    <t>ESPACE 4</t>
  </si>
  <si>
    <t>B2017/015367</t>
  </si>
  <si>
    <t>PROJEVIA</t>
  </si>
  <si>
    <t>01150 Saint-Vulbas</t>
  </si>
  <si>
    <t>SPIFIN</t>
  </si>
  <si>
    <t>03360 Braize</t>
  </si>
  <si>
    <t>PIM PARTICIPATIONS</t>
  </si>
  <si>
    <t>ZMFH</t>
  </si>
  <si>
    <t>B2017/047827</t>
  </si>
  <si>
    <t>53200 Gennes-sur-Glaize</t>
  </si>
  <si>
    <t>SARL GROUPE ROMET</t>
  </si>
  <si>
    <t>PHM France Topco 19 SAS</t>
  </si>
  <si>
    <t>70102 Gray</t>
  </si>
  <si>
    <t>SOCIETE COOPERATIVE AGRICOLE INTERVAL</t>
  </si>
  <si>
    <t>NOALYS</t>
  </si>
  <si>
    <t>B2017/048366</t>
  </si>
  <si>
    <t>SOCIETE COOPERATIVE AGRICOLE ET VITICOLE BOURGOGNE DU SUD</t>
  </si>
  <si>
    <t>17310 Saint-Pierre-d'oléron</t>
  </si>
  <si>
    <t>HOLDING GAULT</t>
  </si>
  <si>
    <t>64600 Anglet</t>
  </si>
  <si>
    <t>ANBISO</t>
  </si>
  <si>
    <t>56550 Belz</t>
  </si>
  <si>
    <t>KERSEGAL</t>
  </si>
  <si>
    <t>LOMADIS</t>
  </si>
  <si>
    <t>79400 Saint-Maixent-l'Ecole</t>
  </si>
  <si>
    <t>S.A. LIBNER</t>
  </si>
  <si>
    <t>38140 LA MURETTE</t>
  </si>
  <si>
    <t>STGA SOCIETE DE GESTION ET D ADMINISTRATION</t>
  </si>
  <si>
    <t>B2017/017386</t>
  </si>
  <si>
    <t>76800 Saint-Etienne-du-Rouvray</t>
  </si>
  <si>
    <t>ANTANNA</t>
  </si>
  <si>
    <t>MARETON (SAS)</t>
  </si>
  <si>
    <t>06110 LE CANNET</t>
  </si>
  <si>
    <t>KASHMIR</t>
  </si>
  <si>
    <t>BERTJADI</t>
  </si>
  <si>
    <t>GROUPE ARCANTE</t>
  </si>
  <si>
    <t>83440 Montauroux</t>
  </si>
  <si>
    <t>SAS HOLDING FT</t>
  </si>
  <si>
    <t>50160 Torigny-les-Villes</t>
  </si>
  <si>
    <t>GANEX</t>
  </si>
  <si>
    <t>BRIZADIS</t>
  </si>
  <si>
    <t>B2017/003582</t>
  </si>
  <si>
    <t>Commerce de détail de meubles</t>
  </si>
  <si>
    <t>4759A</t>
  </si>
  <si>
    <t>GROUPEMENT EUROPEEN DE FINANCEMENT ET D ETUDES COMMERCIALES</t>
  </si>
  <si>
    <t>SOCIETE POUR L'INFORMATIQUE INDUSTRIELLE SII</t>
  </si>
  <si>
    <t>ARLESDIS II</t>
  </si>
  <si>
    <t>Entretien et réparation de véhicules automobiles légers</t>
  </si>
  <si>
    <t>4520A</t>
  </si>
  <si>
    <t>Wavestone</t>
  </si>
  <si>
    <t>ISACHRIS</t>
  </si>
  <si>
    <t>ACECOM</t>
  </si>
  <si>
    <t>UBISOFT ENTERTAINMENT</t>
  </si>
  <si>
    <t>LOCASYSTEM INTERNATIONAL</t>
  </si>
  <si>
    <t>44260 MALVILLE</t>
  </si>
  <si>
    <t>GROUPE LE FEUNTEUN</t>
  </si>
  <si>
    <t>Belgique</t>
  </si>
  <si>
    <t>ARMSTRONG INTERNATIONAL SA</t>
  </si>
  <si>
    <t>FARINIA SA</t>
  </si>
  <si>
    <t>REMY COINTREAU</t>
  </si>
  <si>
    <t>53100 Mayenne</t>
  </si>
  <si>
    <t>LESIEUR SA</t>
  </si>
  <si>
    <t>EO2</t>
  </si>
  <si>
    <t>Officiis Properties</t>
  </si>
  <si>
    <t>ESI GROUP</t>
  </si>
  <si>
    <t>44600 SAINT-NAZAIRE</t>
  </si>
  <si>
    <t>SOLOMAR</t>
  </si>
  <si>
    <t>ARKADIN INTERNATIONAL</t>
  </si>
  <si>
    <t>27300 Menneval</t>
  </si>
  <si>
    <t>SDM EXPANSION</t>
  </si>
  <si>
    <t>38340 VOREPPE</t>
  </si>
  <si>
    <t>POMA</t>
  </si>
  <si>
    <t>B2017/010698</t>
  </si>
  <si>
    <t>40200 Mimizan</t>
  </si>
  <si>
    <t>ASJ HOLDING</t>
  </si>
  <si>
    <t>B2017/001876</t>
  </si>
  <si>
    <t>ADEUNIS RF</t>
  </si>
  <si>
    <t>B2017/014215</t>
  </si>
  <si>
    <t>13127 Vitrolles</t>
  </si>
  <si>
    <t>91170 VIRY CHATILLON</t>
  </si>
  <si>
    <t>DEMARNE DEVELOPPEMENT</t>
  </si>
  <si>
    <t>77540 ROZAY-EN-BRIE</t>
  </si>
  <si>
    <t>FINANCIERE PAYEN</t>
  </si>
  <si>
    <t>71400 Autun</t>
  </si>
  <si>
    <t>SOTUNDIS</t>
  </si>
  <si>
    <t>OENEO</t>
  </si>
  <si>
    <t>VIVES EAUX</t>
  </si>
  <si>
    <t>Fabrication de tubes, tuyaux, profilés creux et accessoires correspondants en acier</t>
  </si>
  <si>
    <t>79360 Granzay-Gript</t>
  </si>
  <si>
    <t>2420Z</t>
  </si>
  <si>
    <t>POUJOULAT</t>
  </si>
  <si>
    <t>42153 RIORGES</t>
  </si>
  <si>
    <t>ROAD'IMMO</t>
  </si>
  <si>
    <t>91230 MONTGERON</t>
  </si>
  <si>
    <t>MONTGERON DIS</t>
  </si>
  <si>
    <t>TRILOGIQ SA</t>
  </si>
  <si>
    <t>D.V.A. holding</t>
  </si>
  <si>
    <t>B2017/042121</t>
  </si>
  <si>
    <t>CHAVANNES FINANCE</t>
  </si>
  <si>
    <t>Activités des agences de voyage</t>
  </si>
  <si>
    <t>7911Z</t>
  </si>
  <si>
    <t>14123 Ifs</t>
  </si>
  <si>
    <t>SOFI-IFS</t>
  </si>
  <si>
    <t>72300 Solesmes</t>
  </si>
  <si>
    <t>SABLE EXPANSION</t>
  </si>
  <si>
    <t>FINANCIERE PALIDIS</t>
  </si>
  <si>
    <t>59500 Douai</t>
  </si>
  <si>
    <t>SODIDOUAI</t>
  </si>
  <si>
    <t>FINANCIERE NIORT SA</t>
  </si>
  <si>
    <t>B2017/017476</t>
  </si>
  <si>
    <t>49130 Les ponts-de-Cé</t>
  </si>
  <si>
    <t>BEN TOUCH</t>
  </si>
  <si>
    <t>28100 DREUX</t>
  </si>
  <si>
    <t>ISEE</t>
  </si>
  <si>
    <t>SNADEC GESTION</t>
  </si>
  <si>
    <t>83340 Le Luc en Provence</t>
  </si>
  <si>
    <t>MNL INVESTISSEMENTS</t>
  </si>
  <si>
    <t>69540 IRIGNY</t>
  </si>
  <si>
    <t>JTEKT EUROPE</t>
  </si>
  <si>
    <t>B2017/044174</t>
  </si>
  <si>
    <t>92504 RUEIL MALMAISON</t>
  </si>
  <si>
    <t>LAMY S.A.</t>
  </si>
  <si>
    <t>PHP INVEST</t>
  </si>
  <si>
    <t>DIDAXIS</t>
  </si>
  <si>
    <t>ALTENOV</t>
  </si>
  <si>
    <t>63370 Lempdes</t>
  </si>
  <si>
    <t>PRS PROFESSIONNELS DES RESEAUX SOUTERRAINS</t>
  </si>
  <si>
    <t>33460 ARSAC</t>
  </si>
  <si>
    <t>LLA GESTION ET PARTICIPATIONS</t>
  </si>
  <si>
    <t>56520 Guidel</t>
  </si>
  <si>
    <t>SOFICRI</t>
  </si>
  <si>
    <t>SARL TRANSPADE</t>
  </si>
  <si>
    <t>DOMALYS</t>
  </si>
  <si>
    <t>51510 FAGNIERES</t>
  </si>
  <si>
    <t>MAETIS</t>
  </si>
  <si>
    <t>R&amp;O SEAFOOD GASTRONOMY</t>
  </si>
  <si>
    <t>Fabrication de malt</t>
  </si>
  <si>
    <t>1106Z</t>
  </si>
  <si>
    <t>MALTERIES FRANCO BELGES</t>
  </si>
  <si>
    <t>LE CARRE</t>
  </si>
  <si>
    <t>GROUPE NOVELTY</t>
  </si>
  <si>
    <t>DOLPHIN INTEGRATION</t>
  </si>
  <si>
    <t>B2017/015424</t>
  </si>
  <si>
    <t>70190 Rioz</t>
  </si>
  <si>
    <t>ABEO</t>
  </si>
  <si>
    <t>B2017/003512</t>
  </si>
  <si>
    <t>PORROIG</t>
  </si>
  <si>
    <t>GROUPE RENARD</t>
  </si>
  <si>
    <t>33610 CANEJAN</t>
  </si>
  <si>
    <t>MAINCARE SOLUTIONS HOLDINGS</t>
  </si>
  <si>
    <t>ALSTOM</t>
  </si>
  <si>
    <t>ARGALI</t>
  </si>
  <si>
    <t>ANDREZIEUX DISTRIBUTION</t>
  </si>
  <si>
    <t>PERNOD RICARD</t>
  </si>
  <si>
    <t>SFT</t>
  </si>
  <si>
    <t>40130 Capbreton</t>
  </si>
  <si>
    <t>CAP OCEANIQUE</t>
  </si>
  <si>
    <t>COFINTEC</t>
  </si>
  <si>
    <t>Compte de résultat (suite):Impo��ts différés Année N</t>
  </si>
  <si>
    <t>Compte de résultat (suite):Impo��ts différés Année N-1</t>
  </si>
  <si>
    <t>Compte de résultat (suite):Impo��ts sur les bénéfices Année N</t>
  </si>
  <si>
    <t>Compte de résultat (suite):Impo��ts sur les bénéfices Année N-1</t>
  </si>
  <si>
    <t>Compte de résultat (suite):Participation des salariés aux résultats de l� entreprise Année N</t>
  </si>
  <si>
    <t>Compte de résultat (suite):Participation des salariés aux résultats de l� entreprise Année N-1</t>
  </si>
  <si>
    <t>Compte de résultat: Impo��ts, taxes et versements assimilés Année N</t>
  </si>
  <si>
    <t>Compte de résultat: Impo��ts, taxes et versements assimilés Année N-1</t>
  </si>
  <si>
    <t>Passif (bilan):Avances et acomptes rec'�us sur commandes en cours Année N</t>
  </si>
  <si>
    <t>Passif (bilan):Avances et acomptes rec'�us sur commandes en cours Année N-1</t>
  </si>
  <si>
    <t>Passif (bilan):Impo��ts différés Année N</t>
  </si>
  <si>
    <t>Passif (bilan):Impo��ts différés Année N-1</t>
  </si>
  <si>
    <t>Date de cloture</t>
  </si>
  <si>
    <t>Durée d'exercice</t>
  </si>
  <si>
    <t>Capital souscrit non appelé</t>
  </si>
  <si>
    <t/>
  </si>
  <si>
    <t>Immobilisations incorporelles</t>
  </si>
  <si>
    <t>Frais d'établissement</t>
  </si>
  <si>
    <t>Amortissements et provisions</t>
  </si>
  <si>
    <t>AC</t>
  </si>
  <si>
    <t>Frais de recherche et développement</t>
  </si>
  <si>
    <t>Concessions, brevets et droits similaires</t>
  </si>
  <si>
    <t>Fonds commercial</t>
  </si>
  <si>
    <t>Autres immobilisations incorporelles</t>
  </si>
  <si>
    <t>Avances et acomptes sur immobilisations incorp.</t>
  </si>
  <si>
    <t>Écarts d'acquisition</t>
  </si>
  <si>
    <t>Écarts d'aquisition</t>
  </si>
  <si>
    <t>Écarts d'aquisition sur valeurs – goodwill</t>
  </si>
  <si>
    <t>Amortissements et provisions – goodwill</t>
  </si>
  <si>
    <t>Différence de première consolidation</t>
  </si>
  <si>
    <t>Immobilisations corporelles</t>
  </si>
  <si>
    <t>Terrains</t>
  </si>
  <si>
    <t>Constructions</t>
  </si>
  <si>
    <t>Installations techniques et outillage industriel</t>
  </si>
  <si>
    <t>Autres immobilisations corporelles</t>
  </si>
  <si>
    <t>Immobilisations en cours</t>
  </si>
  <si>
    <t>Avances et acomptes</t>
  </si>
  <si>
    <t>Immobilisations financières</t>
  </si>
  <si>
    <t>Part. évaluées selon la méthode de mise en équ.</t>
  </si>
  <si>
    <t>CS</t>
  </si>
  <si>
    <t>CT</t>
  </si>
  <si>
    <t>Autres participations</t>
  </si>
  <si>
    <t>Créances rattachées à des participations</t>
  </si>
  <si>
    <t>Autres titres immobilisés</t>
  </si>
  <si>
    <t>Prêts</t>
  </si>
  <si>
    <t>Autres immobilisations financières</t>
  </si>
  <si>
    <t>Titres mis en équivalence</t>
  </si>
  <si>
    <t>Total des amortissements sur immobilisations</t>
  </si>
  <si>
    <t>Stocks et encours</t>
  </si>
  <si>
    <t>Matières premières, approvisionements</t>
  </si>
  <si>
    <t>En cours de production de biens</t>
  </si>
  <si>
    <t>En cours de productions de services</t>
  </si>
  <si>
    <t>Produits intermédiaires et finis</t>
  </si>
  <si>
    <t>Marchandises</t>
  </si>
  <si>
    <t>Créances d'exploitation</t>
  </si>
  <si>
    <t>Avances et acomptes versés sur commandes</t>
  </si>
  <si>
    <t>Clients et comptes rattachés</t>
  </si>
  <si>
    <t>Autres créances</t>
  </si>
  <si>
    <t>Capital souscrit, appelé, non versé</t>
  </si>
  <si>
    <t>Valeurs mobilières de placement</t>
  </si>
  <si>
    <t>Disponibilités</t>
  </si>
  <si>
    <t>Charges constatées d'avance</t>
  </si>
  <si>
    <t>CJ</t>
  </si>
  <si>
    <t>CK</t>
  </si>
  <si>
    <t>Comptes de régularisation</t>
  </si>
  <si>
    <t>Charges à répartir sur plusieurs exercices</t>
  </si>
  <si>
    <t>Prîmes de remboursement des obligations</t>
  </si>
  <si>
    <t>Ecart de conversion actif</t>
  </si>
  <si>
    <t xml:space="preserve"> - Part. à moins d'un an</t>
  </si>
  <si>
    <t xml:space="preserve"> - Part à plus d'un an</t>
  </si>
  <si>
    <t>Fonds propres et quasi fonds propres</t>
  </si>
  <si>
    <t>Capital social ou individuel</t>
  </si>
  <si>
    <t>Prîme d'émission, de fusion, d'apport</t>
  </si>
  <si>
    <t>Ecarts d'équivalence</t>
  </si>
  <si>
    <t>Ecarts de réévaluation</t>
  </si>
  <si>
    <t>Réserve légale</t>
  </si>
  <si>
    <t>Réserves statutaires ou contractuelles</t>
  </si>
  <si>
    <t>Réserves réglementées</t>
  </si>
  <si>
    <t>Autres réserves</t>
  </si>
  <si>
    <t>Report à nouveau</t>
  </si>
  <si>
    <t>Écarts de conversion</t>
  </si>
  <si>
    <t>Résultat consolidé part du groupe</t>
  </si>
  <si>
    <t>Subventions d'investissement</t>
  </si>
  <si>
    <t>Provisions réglementées</t>
  </si>
  <si>
    <t>Total des capitaux propres</t>
  </si>
  <si>
    <t>Produit des émissions de titres participatifs</t>
  </si>
  <si>
    <t>Avances conditionnées</t>
  </si>
  <si>
    <t>Autres capitaux propres cons.</t>
  </si>
  <si>
    <t>CO3P</t>
  </si>
  <si>
    <t>Total des autres fonds propres</t>
  </si>
  <si>
    <t>Intérêts minoritaires</t>
  </si>
  <si>
    <t>Ecarts de conversion</t>
  </si>
  <si>
    <t>CO4P</t>
  </si>
  <si>
    <t>Intérêts minoritaires dans les réserves</t>
  </si>
  <si>
    <t>Intérêts minoritaires dans les résultats</t>
  </si>
  <si>
    <t>Total des Intérêts minoritaires</t>
  </si>
  <si>
    <t>CO7P</t>
  </si>
  <si>
    <t>dont impôts différés</t>
  </si>
  <si>
    <t>CO8P</t>
  </si>
  <si>
    <t>dont écarts d'aquisition</t>
  </si>
  <si>
    <t>CO9P</t>
  </si>
  <si>
    <t>Provisions pour risques</t>
  </si>
  <si>
    <t>Provisions pour charges</t>
  </si>
  <si>
    <t>Total des provisions pour risques et charges</t>
  </si>
  <si>
    <t>DETTES</t>
  </si>
  <si>
    <t>Dettes financières</t>
  </si>
  <si>
    <t>Emprunts obligataires convertibles</t>
  </si>
  <si>
    <t>Autres emprunts obligataires</t>
  </si>
  <si>
    <t>Emprunts et dettes auprès d'étab. de crédit</t>
  </si>
  <si>
    <t>Emprunts et dettes financières divers</t>
  </si>
  <si>
    <t>Dettes d'exploitation et diverses</t>
  </si>
  <si>
    <t>Avances et acomptes recus sur commandes en cours</t>
  </si>
  <si>
    <t>Dettes fournisseurs et comptes rattachés</t>
  </si>
  <si>
    <t>Dettes fiscales et sociales</t>
  </si>
  <si>
    <t>Dettes sur immobilisations et comptes rattachés</t>
  </si>
  <si>
    <t>Autres dettes</t>
  </si>
  <si>
    <t>Produits  constatés d'avance</t>
  </si>
  <si>
    <t>Total des dettes</t>
  </si>
  <si>
    <t>Ecart de conversion passif</t>
  </si>
  <si>
    <t>Total du passif</t>
  </si>
  <si>
    <t>Renvois du passif</t>
  </si>
  <si>
    <t>Ecart de réévaluation incorporé au capital</t>
  </si>
  <si>
    <t>1B</t>
  </si>
  <si>
    <t>Réserve spéciale de réévaluation (1959)</t>
  </si>
  <si>
    <t>1C</t>
  </si>
  <si>
    <t>Ecart de réévaluation libre</t>
  </si>
  <si>
    <t>1D</t>
  </si>
  <si>
    <t>Réserve de réévaluation</t>
  </si>
  <si>
    <t>1E</t>
  </si>
  <si>
    <t>Réserve réglementée des plus values à long terme</t>
  </si>
  <si>
    <t>Réserve des achats d'oeuvres d'artistes vivants</t>
  </si>
  <si>
    <t>EJ</t>
  </si>
  <si>
    <t>Dettes et produits const. d'avance à moins d'un an</t>
  </si>
  <si>
    <t>Concours banc. courants et soldes créd. de banques</t>
  </si>
  <si>
    <t>Emprunts participatifs</t>
  </si>
  <si>
    <t>· Compte de résultat Consolidé</t>
  </si>
  <si>
    <t>Vente de marchandises (total)</t>
  </si>
  <si>
    <t>Dont: En France</t>
  </si>
  <si>
    <t>A l'étranger</t>
  </si>
  <si>
    <t>Production vendue: Biens (total)</t>
  </si>
  <si>
    <t>Production vendue: Services (total)</t>
  </si>
  <si>
    <t>Chiffres d'affaires nets (total)</t>
  </si>
  <si>
    <t>Production stockée</t>
  </si>
  <si>
    <t>Production immobilisée</t>
  </si>
  <si>
    <t>Subventions d'exploitation</t>
  </si>
  <si>
    <t>FO</t>
  </si>
  <si>
    <t>Reprises sur amort. et  prov., trans. de charges</t>
  </si>
  <si>
    <t>Autres produits</t>
  </si>
  <si>
    <t>Total des produits d'exploitation</t>
  </si>
  <si>
    <t>Consommations</t>
  </si>
  <si>
    <t>Achats de march. (y compris droits de douane)</t>
  </si>
  <si>
    <t>Variation de stocks de marchandises</t>
  </si>
  <si>
    <t>Mat. 1ères et aut. approv. (+ droits de douane)</t>
  </si>
  <si>
    <t>Var. de stocks de mat. 1ères et approvisionnements</t>
  </si>
  <si>
    <t>Autres achats et charges externes</t>
  </si>
  <si>
    <t>Impots taxes et versements assimilés</t>
  </si>
  <si>
    <t>Personnel et comptes rattachés</t>
  </si>
  <si>
    <t>Salaires et traitements</t>
  </si>
  <si>
    <t>Charges sociales</t>
  </si>
  <si>
    <t>Sur immobilisations: Dotations aux amortissements</t>
  </si>
  <si>
    <t>Sur immobilisations: Dotations aux provisions</t>
  </si>
  <si>
    <t>Sur actif circulant: Dotations aux provisions</t>
  </si>
  <si>
    <t>Pour risques et charges: Dotations aux provisions</t>
  </si>
  <si>
    <t>Autres charges</t>
  </si>
  <si>
    <t>Total des charges d'exploitation</t>
  </si>
  <si>
    <t>Résultat d'exploitation</t>
  </si>
  <si>
    <t>Produits financiers</t>
  </si>
  <si>
    <t>Bén. att. ou perte trans. sur opér. en commun</t>
  </si>
  <si>
    <t>Perte supp. ou bén. trans. sur opér. en commun</t>
  </si>
  <si>
    <t>Produits financiers de participations</t>
  </si>
  <si>
    <t>Prod. d'autres VM et créances de l'actif immob.</t>
  </si>
  <si>
    <t>Autres intérèts et produits assimilés</t>
  </si>
  <si>
    <t>Reprises sur provisions et transferts de charges</t>
  </si>
  <si>
    <t>Différences positives de change</t>
  </si>
  <si>
    <t>Produits nets sur cessions de VMP</t>
  </si>
  <si>
    <t>Total des produits financiers</t>
  </si>
  <si>
    <t>Charges financières</t>
  </si>
  <si>
    <t>Dotations fi. aux amortissements et provisions</t>
  </si>
  <si>
    <t>Intérèts et charges assimilées</t>
  </si>
  <si>
    <t>Différences négatives de change</t>
  </si>
  <si>
    <t>Charges nettes sur cessions de VMP</t>
  </si>
  <si>
    <t>Résultat financier</t>
  </si>
  <si>
    <t>Résultat courant avant impots</t>
  </si>
  <si>
    <t>Produits exceptionnels</t>
  </si>
  <si>
    <t>Produits exceptionnels sur opérations de gestion</t>
  </si>
  <si>
    <t>Produits exceptionnels sur opérations en capital</t>
  </si>
  <si>
    <t>Total des produits exceptionnels</t>
  </si>
  <si>
    <t>Charges exceptionnelles</t>
  </si>
  <si>
    <t>Charges exceptionnelles sur opérations de gestion</t>
  </si>
  <si>
    <t>Charges exceptionnelles sur opérations en capital</t>
  </si>
  <si>
    <t>Dotations except. aux amortissements et provisions</t>
  </si>
  <si>
    <t>Total des charges exceptionnelles</t>
  </si>
  <si>
    <t>Résultat exceptionnel</t>
  </si>
  <si>
    <t>Part. des salariés aux résultats de l'entreprise</t>
  </si>
  <si>
    <t>Impots sur les bénéfices</t>
  </si>
  <si>
    <t>Résultats des sociétés intégrées</t>
  </si>
  <si>
    <t>Impots différés</t>
  </si>
  <si>
    <t xml:space="preserve">Résultat net avant amortissement des écarts d'acquisition </t>
  </si>
  <si>
    <t>Dotation aux amortisssements des écarts d'acquisition</t>
  </si>
  <si>
    <t>Résultat net des sociétés mises en équivalence</t>
  </si>
  <si>
    <t>Résultats net des sociétés intégrées</t>
  </si>
  <si>
    <t>Résultats consolidés</t>
  </si>
  <si>
    <t>Part revenant aux intérêts minoritaires</t>
  </si>
  <si>
    <t>Part revenant à l'entreprise consolidée</t>
  </si>
  <si>
    <t>Renvois du compte de résultats</t>
  </si>
  <si>
    <t>Crédit bail mobilier</t>
  </si>
  <si>
    <t>Crédit bail immobilier</t>
  </si>
  <si>
    <t>=</t>
  </si>
  <si>
    <t>tribunal</t>
  </si>
  <si>
    <t>NET N</t>
  </si>
  <si>
    <t>NET N-1</t>
  </si>
  <si>
    <t>AB-AC</t>
  </si>
  <si>
    <t>CS-CT</t>
  </si>
  <si>
    <t>CS(N1)</t>
  </si>
  <si>
    <t>CO9P(N1)</t>
  </si>
  <si>
    <t>FO(N1)</t>
  </si>
  <si>
    <t>CO8P(N1)</t>
  </si>
  <si>
    <t>CJ-CK</t>
  </si>
  <si>
    <t>CJ(N1)</t>
  </si>
  <si>
    <t>Brut</t>
  </si>
  <si>
    <t>Net (N)</t>
  </si>
  <si>
    <t>Net (N-1)</t>
  </si>
  <si>
    <t>Total de l'actif immobilisé</t>
  </si>
  <si>
    <t>Total de l'actif circulant</t>
  </si>
  <si>
    <t>Total de l'actif</t>
  </si>
  <si>
    <t>Remarque sur la saisie</t>
  </si>
  <si>
    <t xml:space="preserve">déposé le </t>
  </si>
  <si>
    <t>brut (N)</t>
  </si>
  <si>
    <t>Devise / unité</t>
  </si>
  <si>
    <t>Devise</t>
  </si>
  <si>
    <t>· ACTIF CONSOLIDE</t>
  </si>
  <si>
    <t>· PASSIF CONSOLIDE</t>
  </si>
  <si>
    <t>Vue verticale des bilans consolidés</t>
  </si>
  <si>
    <t>L'onglet "Vue" permet de lire verticalement les données diponibles dans l'onglet "Liste", contenant les bilans consolidés</t>
  </si>
  <si>
    <t>L'onglet "Liste" reprend toutes les entreprises avec un bilan consolidé disponible en open-data</t>
  </si>
  <si>
    <t>2 - Consulter un bilan consolidé</t>
  </si>
  <si>
    <t>305320525</t>
  </si>
  <si>
    <t>754012094</t>
  </si>
  <si>
    <t>387486715</t>
  </si>
  <si>
    <t>305635039</t>
  </si>
  <si>
    <t>381074590</t>
  </si>
  <si>
    <t>808395412</t>
  </si>
  <si>
    <t>775616626</t>
  </si>
  <si>
    <t>954507943</t>
  </si>
  <si>
    <t>532875028</t>
  </si>
  <si>
    <t>333903128</t>
  </si>
  <si>
    <t>302354428</t>
  </si>
  <si>
    <t>411290174</t>
  </si>
  <si>
    <t>572230829</t>
  </si>
  <si>
    <t>490538576</t>
  </si>
  <si>
    <t>320992977</t>
  </si>
  <si>
    <t>482265451</t>
  </si>
  <si>
    <t>447250044</t>
  </si>
  <si>
    <t>499328698</t>
  </si>
  <si>
    <t>450764543</t>
  </si>
  <si>
    <t>491878880</t>
  </si>
  <si>
    <t>302135405</t>
  </si>
  <si>
    <t>789829033</t>
  </si>
  <si>
    <t>530161306</t>
  </si>
  <si>
    <t>483185807</t>
  </si>
  <si>
    <t>451726582</t>
  </si>
  <si>
    <t>451390041</t>
  </si>
  <si>
    <t>510376338</t>
  </si>
  <si>
    <t>305522807</t>
  </si>
  <si>
    <t>527675706</t>
  </si>
  <si>
    <t>529335903</t>
  </si>
  <si>
    <t>383699048</t>
  </si>
  <si>
    <t>759200934</t>
  </si>
  <si>
    <t>405040973</t>
  </si>
  <si>
    <t>381178797</t>
  </si>
  <si>
    <t>786187898</t>
  </si>
  <si>
    <t>507900439</t>
  </si>
  <si>
    <t>533173373</t>
  </si>
  <si>
    <t>412977738</t>
  </si>
  <si>
    <t>414878496</t>
  </si>
  <si>
    <t>498687094</t>
  </si>
  <si>
    <t>454081233</t>
  </si>
  <si>
    <t>437522709</t>
  </si>
  <si>
    <t>302768296</t>
  </si>
  <si>
    <t>320366503</t>
  </si>
  <si>
    <t>429317118</t>
  </si>
  <si>
    <t>542042486</t>
  </si>
  <si>
    <t>442465084</t>
  </si>
  <si>
    <t>519761787</t>
  </si>
  <si>
    <t>503544538</t>
  </si>
  <si>
    <t>790526800</t>
  </si>
  <si>
    <t>791880461</t>
  </si>
  <si>
    <t>791429251</t>
  </si>
  <si>
    <t>444977474</t>
  </si>
  <si>
    <t>504618786</t>
  </si>
  <si>
    <t>781362256</t>
  </si>
  <si>
    <t>642880785</t>
  </si>
  <si>
    <t>450490917</t>
  </si>
  <si>
    <t>513175810</t>
  </si>
  <si>
    <t>440576742</t>
  </si>
  <si>
    <t>538728924</t>
  </si>
  <si>
    <t>483693909</t>
  </si>
  <si>
    <t>442365375</t>
  </si>
  <si>
    <t>332899731</t>
  </si>
  <si>
    <t>513033662</t>
  </si>
  <si>
    <t>775715592</t>
  </si>
  <si>
    <t>398773242</t>
  </si>
  <si>
    <t>661780221</t>
  </si>
  <si>
    <t>424348373</t>
  </si>
  <si>
    <t>389551904</t>
  </si>
  <si>
    <t>775606874</t>
  </si>
  <si>
    <t>818647679</t>
  </si>
  <si>
    <t>402080345</t>
  </si>
  <si>
    <t>439422221</t>
  </si>
  <si>
    <t>489317040</t>
  </si>
  <si>
    <t>508775384</t>
  </si>
  <si>
    <t>576850697</t>
  </si>
  <si>
    <t>523526754</t>
  </si>
  <si>
    <t>501637144</t>
  </si>
  <si>
    <t>814121513</t>
  </si>
  <si>
    <t>805022704</t>
  </si>
  <si>
    <t>779053883</t>
  </si>
  <si>
    <t>393582614</t>
  </si>
  <si>
    <t>334076056</t>
  </si>
  <si>
    <t>781195334</t>
  </si>
  <si>
    <t>528424963</t>
  </si>
  <si>
    <t>808362685</t>
  </si>
  <si>
    <t>410334494</t>
  </si>
  <si>
    <t>326677366</t>
  </si>
  <si>
    <t>399463348</t>
  </si>
  <si>
    <t>778567750</t>
  </si>
  <si>
    <t>404115198</t>
  </si>
  <si>
    <t>382489995</t>
  </si>
  <si>
    <t>403554181</t>
  </si>
  <si>
    <t>583821046</t>
  </si>
  <si>
    <t>587350281</t>
  </si>
  <si>
    <t>392072369</t>
  </si>
  <si>
    <t>402520852</t>
  </si>
  <si>
    <t>441265329</t>
  </si>
  <si>
    <t>803075696</t>
  </si>
  <si>
    <t>444653794</t>
  </si>
  <si>
    <t>384764817</t>
  </si>
  <si>
    <t>775784689</t>
  </si>
  <si>
    <t>352711147</t>
  </si>
  <si>
    <t>490736857</t>
  </si>
  <si>
    <t>799344627</t>
  </si>
  <si>
    <t>453551335</t>
  </si>
  <si>
    <t>480054196</t>
  </si>
  <si>
    <t>493482913</t>
  </si>
  <si>
    <t>442308920</t>
  </si>
  <si>
    <t>508185089</t>
  </si>
  <si>
    <t>402103907</t>
  </si>
  <si>
    <t>430036509</t>
  </si>
  <si>
    <t>345166425</t>
  </si>
  <si>
    <t>789334752</t>
  </si>
  <si>
    <t>442864518</t>
  </si>
  <si>
    <t>343357851</t>
  </si>
  <si>
    <t>538697525</t>
  </si>
  <si>
    <t>383069085</t>
  </si>
  <si>
    <t>498926625</t>
  </si>
  <si>
    <t>353847734</t>
  </si>
  <si>
    <t>344251186</t>
  </si>
  <si>
    <t>334718962</t>
  </si>
  <si>
    <t>351980925</t>
  </si>
  <si>
    <t>349041913</t>
  </si>
  <si>
    <t>493180418</t>
  </si>
  <si>
    <t>605520584</t>
  </si>
  <si>
    <t>397439167</t>
  </si>
  <si>
    <t>477799100</t>
  </si>
  <si>
    <t>429476740</t>
  </si>
  <si>
    <t>439359787</t>
  </si>
  <si>
    <t>389486267</t>
  </si>
  <si>
    <t>530956416</t>
  </si>
  <si>
    <t>377619150</t>
  </si>
  <si>
    <t>308213164</t>
  </si>
  <si>
    <t>788450260</t>
  </si>
  <si>
    <t>537926305</t>
  </si>
  <si>
    <t>505073163</t>
  </si>
  <si>
    <t>530923911</t>
  </si>
  <si>
    <t>808890164</t>
  </si>
  <si>
    <t>378777734</t>
  </si>
  <si>
    <t>802927293</t>
  </si>
  <si>
    <t>499459204</t>
  </si>
  <si>
    <t>320153984</t>
  </si>
  <si>
    <t>424860807</t>
  </si>
  <si>
    <t>804527372</t>
  </si>
  <si>
    <t>399945914</t>
  </si>
  <si>
    <t>533149688</t>
  </si>
  <si>
    <t>802673848</t>
  </si>
  <si>
    <t>418664041</t>
  </si>
  <si>
    <t>794218800</t>
  </si>
  <si>
    <t>349357343</t>
  </si>
  <si>
    <t>452995079</t>
  </si>
  <si>
    <t>775629033</t>
  </si>
  <si>
    <t>819279167</t>
  </si>
  <si>
    <t>480589688</t>
  </si>
  <si>
    <t>532883030</t>
  </si>
  <si>
    <t>811351964</t>
  </si>
  <si>
    <t>400467825</t>
  </si>
  <si>
    <t>323181057</t>
  </si>
  <si>
    <t>317272540</t>
  </si>
  <si>
    <t>493337901</t>
  </si>
  <si>
    <t>508880648</t>
  </si>
  <si>
    <t>800882888</t>
  </si>
  <si>
    <t>335680096</t>
  </si>
  <si>
    <t>488462730</t>
  </si>
  <si>
    <t>417970233</t>
  </si>
  <si>
    <t>409577939</t>
  </si>
  <si>
    <t>503877029</t>
  </si>
  <si>
    <t>532501517</t>
  </si>
  <si>
    <t>493054977</t>
  </si>
  <si>
    <t>528556806</t>
  </si>
  <si>
    <t>414266163</t>
  </si>
  <si>
    <t>538408766</t>
  </si>
  <si>
    <t>792077943</t>
  </si>
  <si>
    <t>306140039</t>
  </si>
  <si>
    <t>493056162</t>
  </si>
  <si>
    <t>451804546</t>
  </si>
  <si>
    <t>492408927</t>
  </si>
  <si>
    <t>493056022</t>
  </si>
  <si>
    <t>394491252</t>
  </si>
  <si>
    <t>306474610</t>
  </si>
  <si>
    <t>325455715</t>
  </si>
  <si>
    <t>447857814</t>
  </si>
  <si>
    <t>512983214</t>
  </si>
  <si>
    <t>489727297</t>
  </si>
  <si>
    <t>789896305</t>
  </si>
  <si>
    <t>388347585</t>
  </si>
  <si>
    <t>515620441</t>
  </si>
  <si>
    <t>808246722</t>
  </si>
  <si>
    <t>422551176</t>
  </si>
  <si>
    <t>437833668</t>
  </si>
  <si>
    <t>339796617</t>
  </si>
  <si>
    <t>348511585</t>
  </si>
  <si>
    <t>399377688</t>
  </si>
  <si>
    <t>441496973</t>
  </si>
  <si>
    <t>421305210</t>
  </si>
  <si>
    <t>788635597</t>
  </si>
  <si>
    <t>429349822</t>
  </si>
  <si>
    <t>794907600</t>
  </si>
  <si>
    <t>778372474</t>
  </si>
  <si>
    <t>492347851</t>
  </si>
  <si>
    <t>778556423</t>
  </si>
  <si>
    <t>434314050</t>
  </si>
  <si>
    <t>483665121</t>
  </si>
  <si>
    <t>418691341</t>
  </si>
  <si>
    <t>817886997</t>
  </si>
  <si>
    <t>343159380</t>
  </si>
  <si>
    <t>434644019</t>
  </si>
  <si>
    <t>537902223</t>
  </si>
  <si>
    <t>450116421</t>
  </si>
  <si>
    <t>518911839</t>
  </si>
  <si>
    <t>399512532</t>
  </si>
  <si>
    <t>443829825</t>
  </si>
  <si>
    <t>750486599</t>
  </si>
  <si>
    <t>518466495</t>
  </si>
  <si>
    <t>397681271</t>
  </si>
  <si>
    <t>322045683</t>
  </si>
  <si>
    <t>315000943</t>
  </si>
  <si>
    <t>799851530</t>
  </si>
  <si>
    <t>377550249</t>
  </si>
  <si>
    <t>435402656</t>
  </si>
  <si>
    <t>353796980</t>
  </si>
  <si>
    <t>335186094</t>
  </si>
  <si>
    <t>321895799</t>
  </si>
  <si>
    <t>452772395</t>
  </si>
  <si>
    <t>482718491</t>
  </si>
  <si>
    <t>409771292</t>
  </si>
  <si>
    <t>302178892</t>
  </si>
  <si>
    <t>736550070</t>
  </si>
  <si>
    <t>493169932</t>
  </si>
  <si>
    <t>448364232</t>
  </si>
  <si>
    <t>381080225</t>
  </si>
  <si>
    <t>399398171</t>
  </si>
  <si>
    <t>752346817</t>
  </si>
  <si>
    <t>479813024</t>
  </si>
  <si>
    <t>055501902</t>
  </si>
  <si>
    <t>503107500</t>
  </si>
  <si>
    <t>430190496</t>
  </si>
  <si>
    <t>532987492</t>
  </si>
  <si>
    <t>418367306</t>
  </si>
  <si>
    <t>448848507</t>
  </si>
  <si>
    <t>322828260</t>
  </si>
  <si>
    <t>349655241</t>
  </si>
  <si>
    <t>781446521</t>
  </si>
  <si>
    <t>321391138</t>
  </si>
  <si>
    <t>434277836</t>
  </si>
  <si>
    <t>387452576</t>
  </si>
  <si>
    <t>445254469</t>
  </si>
  <si>
    <t>505328542</t>
  </si>
  <si>
    <t>500470968</t>
  </si>
  <si>
    <t>399344522</t>
  </si>
  <si>
    <t>380816892</t>
  </si>
  <si>
    <t>520323668</t>
  </si>
  <si>
    <t>394197487</t>
  </si>
  <si>
    <t>510651243</t>
  </si>
  <si>
    <t>503520181</t>
  </si>
  <si>
    <t>820923043</t>
  </si>
  <si>
    <t>428690838</t>
  </si>
  <si>
    <t>967505967</t>
  </si>
  <si>
    <t>309644953</t>
  </si>
  <si>
    <t>814735205</t>
  </si>
  <si>
    <t>480643139</t>
  </si>
  <si>
    <t>824646764</t>
  </si>
  <si>
    <t>440465698</t>
  </si>
  <si>
    <t>388243610</t>
  </si>
  <si>
    <t>453189037</t>
  </si>
  <si>
    <t>317783082</t>
  </si>
  <si>
    <t>814957346</t>
  </si>
  <si>
    <t>824367106</t>
  </si>
  <si>
    <t>387915085</t>
  </si>
  <si>
    <t>552121816</t>
  </si>
  <si>
    <t>422185397</t>
  </si>
  <si>
    <t>823650015</t>
  </si>
  <si>
    <t>331951939</t>
  </si>
  <si>
    <t>379137524</t>
  </si>
  <si>
    <t>440421493</t>
  </si>
  <si>
    <t>382199883</t>
  </si>
  <si>
    <t>423377720</t>
  </si>
  <si>
    <t>389058447</t>
  </si>
  <si>
    <t>453901944</t>
  </si>
  <si>
    <t>523354009</t>
  </si>
  <si>
    <t>582041943</t>
  </si>
  <si>
    <t>494068968</t>
  </si>
  <si>
    <t>435338058</t>
  </si>
  <si>
    <t>412476590</t>
  </si>
  <si>
    <t>CAPITAUX PROPRES</t>
  </si>
  <si>
    <t>01</t>
  </si>
  <si>
    <t>00</t>
  </si>
  <si>
    <t>12</t>
  </si>
  <si>
    <t>2002D01033</t>
  </si>
  <si>
    <t>2015B08333</t>
  </si>
  <si>
    <t>22</t>
  </si>
  <si>
    <t>39</t>
  </si>
  <si>
    <t>28</t>
  </si>
  <si>
    <t>2248</t>
  </si>
  <si>
    <t>15</t>
  </si>
  <si>
    <t>1976B00064</t>
  </si>
  <si>
    <t>429</t>
  </si>
  <si>
    <t>33</t>
  </si>
  <si>
    <t>324</t>
  </si>
  <si>
    <t>3234</t>
  </si>
  <si>
    <t>163</t>
  </si>
  <si>
    <t>13</t>
  </si>
  <si>
    <t>2800</t>
  </si>
  <si>
    <t>1058</t>
  </si>
  <si>
    <t>16</t>
  </si>
  <si>
    <t>50</t>
  </si>
  <si>
    <t>3801</t>
  </si>
  <si>
    <t>349</t>
  </si>
  <si>
    <t>6322</t>
  </si>
  <si>
    <t>1992B00141</t>
  </si>
  <si>
    <t>1976B00096</t>
  </si>
  <si>
    <t>3485</t>
  </si>
  <si>
    <t>1991B50052</t>
  </si>
  <si>
    <t>7668</t>
  </si>
  <si>
    <t>06</t>
  </si>
  <si>
    <t>2015B00712</t>
  </si>
  <si>
    <t>2002D40116</t>
  </si>
  <si>
    <t>98</t>
  </si>
  <si>
    <t>4909</t>
  </si>
  <si>
    <t>1954B00794</t>
  </si>
  <si>
    <t>19</t>
  </si>
  <si>
    <t>17399</t>
  </si>
  <si>
    <t>137</t>
  </si>
  <si>
    <t>2012B00192</t>
  </si>
  <si>
    <t>37040</t>
  </si>
  <si>
    <t>1990B02496</t>
  </si>
  <si>
    <t>2951</t>
  </si>
  <si>
    <t>2000B01945</t>
  </si>
  <si>
    <t>3138</t>
  </si>
  <si>
    <t>2000B51890</t>
  </si>
  <si>
    <t>3257</t>
  </si>
  <si>
    <t>3790</t>
  </si>
  <si>
    <t>11</t>
  </si>
  <si>
    <t>18</t>
  </si>
  <si>
    <t>184</t>
  </si>
  <si>
    <t>262</t>
  </si>
  <si>
    <t>1383</t>
  </si>
  <si>
    <t>61</t>
  </si>
  <si>
    <t>3208</t>
  </si>
  <si>
    <t>90601</t>
  </si>
  <si>
    <t>1957B23082</t>
  </si>
  <si>
    <t>15248</t>
  </si>
  <si>
    <t>2006B01302</t>
  </si>
  <si>
    <t>1333</t>
  </si>
  <si>
    <t>74</t>
  </si>
  <si>
    <t>167</t>
  </si>
  <si>
    <t>15065</t>
  </si>
  <si>
    <t>1981B00096</t>
  </si>
  <si>
    <t>2005B00197</t>
  </si>
  <si>
    <t>5793</t>
  </si>
  <si>
    <t>178</t>
  </si>
  <si>
    <t>13660</t>
  </si>
  <si>
    <t>338</t>
  </si>
  <si>
    <t>618</t>
  </si>
  <si>
    <t>65</t>
  </si>
  <si>
    <t>1972B40004</t>
  </si>
  <si>
    <t>21</t>
  </si>
  <si>
    <t>3303</t>
  </si>
  <si>
    <t>276</t>
  </si>
  <si>
    <t>2007B01451</t>
  </si>
  <si>
    <t>627</t>
  </si>
  <si>
    <t>186</t>
  </si>
  <si>
    <t>2003B00315</t>
  </si>
  <si>
    <t>749</t>
  </si>
  <si>
    <t>3284</t>
  </si>
  <si>
    <t>303</t>
  </si>
  <si>
    <t>341</t>
  </si>
  <si>
    <t>266</t>
  </si>
  <si>
    <t>6379</t>
  </si>
  <si>
    <t>96</t>
  </si>
  <si>
    <t>872</t>
  </si>
  <si>
    <t>14923</t>
  </si>
  <si>
    <t>6641</t>
  </si>
  <si>
    <t>2958</t>
  </si>
  <si>
    <t>2006B50182</t>
  </si>
  <si>
    <t>10548</t>
  </si>
  <si>
    <t>1955B00048</t>
  </si>
  <si>
    <t>98829</t>
  </si>
  <si>
    <t>503</t>
  </si>
  <si>
    <t>6303</t>
  </si>
  <si>
    <t>8933</t>
  </si>
  <si>
    <t>2012B02494</t>
  </si>
  <si>
    <t>2011B00260</t>
  </si>
  <si>
    <t>204</t>
  </si>
  <si>
    <t>2110</t>
  </si>
  <si>
    <t>654</t>
  </si>
  <si>
    <t>4437</t>
  </si>
  <si>
    <t>10438</t>
  </si>
  <si>
    <t>1056</t>
  </si>
  <si>
    <t>53613</t>
  </si>
  <si>
    <t>2005B12563</t>
  </si>
  <si>
    <t>3191</t>
  </si>
  <si>
    <t>2004B00033</t>
  </si>
  <si>
    <t>5365</t>
  </si>
  <si>
    <t>3190</t>
  </si>
  <si>
    <t>2005B00200</t>
  </si>
  <si>
    <t>2009B00266</t>
  </si>
  <si>
    <t>5529</t>
  </si>
  <si>
    <t>2006B00427</t>
  </si>
  <si>
    <t>2010B05230</t>
  </si>
  <si>
    <t>2015B00208</t>
  </si>
  <si>
    <t>3210</t>
  </si>
  <si>
    <t>1991B15142</t>
  </si>
  <si>
    <t>1513</t>
  </si>
  <si>
    <t>1959B00093</t>
  </si>
  <si>
    <t>1996B00342</t>
  </si>
  <si>
    <t>1967</t>
  </si>
  <si>
    <t>283</t>
  </si>
  <si>
    <t>1992B40191</t>
  </si>
  <si>
    <t>586</t>
  </si>
  <si>
    <t>490</t>
  </si>
  <si>
    <t>2002D00833</t>
  </si>
  <si>
    <t>2607</t>
  </si>
  <si>
    <t>2370</t>
  </si>
  <si>
    <t>10818</t>
  </si>
  <si>
    <t>448</t>
  </si>
  <si>
    <t>2011B06958</t>
  </si>
  <si>
    <t>4810</t>
  </si>
  <si>
    <t>9070</t>
  </si>
  <si>
    <t>2002B00265</t>
  </si>
  <si>
    <t>477</t>
  </si>
  <si>
    <t>1997B03560</t>
  </si>
  <si>
    <t>6408</t>
  </si>
  <si>
    <t>2007B00636</t>
  </si>
  <si>
    <t>17659</t>
  </si>
  <si>
    <t>193</t>
  </si>
  <si>
    <t>2004B50091</t>
  </si>
  <si>
    <t>3116</t>
  </si>
  <si>
    <t>78</t>
  </si>
  <si>
    <t>5969</t>
  </si>
  <si>
    <t>2001B00217</t>
  </si>
  <si>
    <t>2002D00327</t>
  </si>
  <si>
    <t>2008B00163</t>
  </si>
  <si>
    <t>1980B08732</t>
  </si>
  <si>
    <t>7110</t>
  </si>
  <si>
    <t>6687</t>
  </si>
  <si>
    <t>2000B00638</t>
  </si>
  <si>
    <t>2008B05113</t>
  </si>
  <si>
    <t>2002B01301</t>
  </si>
  <si>
    <t>2010B00113</t>
  </si>
  <si>
    <t>5247</t>
  </si>
  <si>
    <t>1067</t>
  </si>
  <si>
    <t>7655</t>
  </si>
  <si>
    <t>4482</t>
  </si>
  <si>
    <t>3924</t>
  </si>
  <si>
    <t>3097</t>
  </si>
  <si>
    <t>70752</t>
  </si>
  <si>
    <t>4344</t>
  </si>
  <si>
    <t>30808</t>
  </si>
  <si>
    <t>6803</t>
  </si>
  <si>
    <t>2008B08270</t>
  </si>
  <si>
    <t>18658</t>
  </si>
  <si>
    <t>2013B00166</t>
  </si>
  <si>
    <t>1567</t>
  </si>
  <si>
    <t>13717</t>
  </si>
  <si>
    <t>2013B00531</t>
  </si>
  <si>
    <t>14561</t>
  </si>
  <si>
    <t>10532</t>
  </si>
  <si>
    <t>2013B00815</t>
  </si>
  <si>
    <t>2003B00019</t>
  </si>
  <si>
    <t>2010B00510</t>
  </si>
  <si>
    <t>2002D00341</t>
  </si>
  <si>
    <t>1964B00078</t>
  </si>
  <si>
    <t>2004B00194</t>
  </si>
  <si>
    <t>5555</t>
  </si>
  <si>
    <t>2009D00108</t>
  </si>
  <si>
    <t>2002B00028</t>
  </si>
  <si>
    <t>2452</t>
  </si>
  <si>
    <t>2011B00969</t>
  </si>
  <si>
    <t>635</t>
  </si>
  <si>
    <t>2006B00050</t>
  </si>
  <si>
    <t>2002B00108</t>
  </si>
  <si>
    <t>3140</t>
  </si>
  <si>
    <t>11426</t>
  </si>
  <si>
    <t>5044</t>
  </si>
  <si>
    <t>10621</t>
  </si>
  <si>
    <t>1985B00123</t>
  </si>
  <si>
    <t>4379</t>
  </si>
  <si>
    <t>2009B01841</t>
  </si>
  <si>
    <t>6752</t>
  </si>
  <si>
    <t>2016D00088</t>
  </si>
  <si>
    <t>1994B00343</t>
  </si>
  <si>
    <t>7695</t>
  </si>
  <si>
    <t>1966B00022</t>
  </si>
  <si>
    <t>7219</t>
  </si>
  <si>
    <t>1999B40075</t>
  </si>
  <si>
    <t>2008B00338</t>
  </si>
  <si>
    <t>11369</t>
  </si>
  <si>
    <t>1971B40004</t>
  </si>
  <si>
    <t>54223</t>
  </si>
  <si>
    <t>2016B01869</t>
  </si>
  <si>
    <t>8143</t>
  </si>
  <si>
    <t>1995B00400</t>
  </si>
  <si>
    <t>5021</t>
  </si>
  <si>
    <t>3977</t>
  </si>
  <si>
    <t>2001B00237</t>
  </si>
  <si>
    <t>2008B00091</t>
  </si>
  <si>
    <t>2008B03488</t>
  </si>
  <si>
    <t>6131</t>
  </si>
  <si>
    <t>1968B00069</t>
  </si>
  <si>
    <t>4108</t>
  </si>
  <si>
    <t>2010B14185</t>
  </si>
  <si>
    <t>21249</t>
  </si>
  <si>
    <t>2007B04432</t>
  </si>
  <si>
    <t>12174</t>
  </si>
  <si>
    <t>2015B01681</t>
  </si>
  <si>
    <t>772</t>
  </si>
  <si>
    <t>13295</t>
  </si>
  <si>
    <t>2014B01277</t>
  </si>
  <si>
    <t>2001D00139</t>
  </si>
  <si>
    <t>1994B00003</t>
  </si>
  <si>
    <t>1986B00139</t>
  </si>
  <si>
    <t>2002D50137</t>
  </si>
  <si>
    <t>5132</t>
  </si>
  <si>
    <t>4639</t>
  </si>
  <si>
    <t>4100</t>
  </si>
  <si>
    <t>2010B05771</t>
  </si>
  <si>
    <t>2016B00413</t>
  </si>
  <si>
    <t>3830</t>
  </si>
  <si>
    <t>1996B51537</t>
  </si>
  <si>
    <t>1998D00010</t>
  </si>
  <si>
    <t>2007B00055</t>
  </si>
  <si>
    <t>2002D00220</t>
  </si>
  <si>
    <t>1996B00250</t>
  </si>
  <si>
    <t>1991B00257</t>
  </si>
  <si>
    <t>4042</t>
  </si>
  <si>
    <t>1650</t>
  </si>
  <si>
    <t>328</t>
  </si>
  <si>
    <t>10283</t>
  </si>
  <si>
    <t>6684</t>
  </si>
  <si>
    <t>17365</t>
  </si>
  <si>
    <t>4194</t>
  </si>
  <si>
    <t>1996B00244</t>
  </si>
  <si>
    <t>7616</t>
  </si>
  <si>
    <t>18094</t>
  </si>
  <si>
    <t>2754</t>
  </si>
  <si>
    <t>1958B00104</t>
  </si>
  <si>
    <t>1973B00028</t>
  </si>
  <si>
    <t>1993B00788</t>
  </si>
  <si>
    <t>1995B00895</t>
  </si>
  <si>
    <t>2003B00121</t>
  </si>
  <si>
    <t>2014B09522</t>
  </si>
  <si>
    <t>2002B03883</t>
  </si>
  <si>
    <t>2937</t>
  </si>
  <si>
    <t>1992B00558</t>
  </si>
  <si>
    <t>2002D00316</t>
  </si>
  <si>
    <t>1989B00524</t>
  </si>
  <si>
    <t>2006B00393</t>
  </si>
  <si>
    <t>6881</t>
  </si>
  <si>
    <t>5006</t>
  </si>
  <si>
    <t>2002B40081</t>
  </si>
  <si>
    <t>34402</t>
  </si>
  <si>
    <t>2013B09300</t>
  </si>
  <si>
    <t>2004B00461</t>
  </si>
  <si>
    <t>8321</t>
  </si>
  <si>
    <t>2004B00872</t>
  </si>
  <si>
    <t>5088</t>
  </si>
  <si>
    <t>2007B00005</t>
  </si>
  <si>
    <t>19121</t>
  </si>
  <si>
    <t>3856</t>
  </si>
  <si>
    <t>2008B00542</t>
  </si>
  <si>
    <t>1512</t>
  </si>
  <si>
    <t>12391</t>
  </si>
  <si>
    <t>5814</t>
  </si>
  <si>
    <t>12191</t>
  </si>
  <si>
    <t>1997B04688</t>
  </si>
  <si>
    <t>89781</t>
  </si>
  <si>
    <t>7069</t>
  </si>
  <si>
    <t>2466</t>
  </si>
  <si>
    <t>2762</t>
  </si>
  <si>
    <t>1816</t>
  </si>
  <si>
    <t>2000B00070</t>
  </si>
  <si>
    <t>1988B01898</t>
  </si>
  <si>
    <t>2012B01062</t>
  </si>
  <si>
    <t>2002B00076</t>
  </si>
  <si>
    <t>10521</t>
  </si>
  <si>
    <t>1988B00019</t>
  </si>
  <si>
    <t>4412</t>
  </si>
  <si>
    <t>2011B00660</t>
  </si>
  <si>
    <t>7709</t>
  </si>
  <si>
    <t>1991B00493</t>
  </si>
  <si>
    <t>121860</t>
  </si>
  <si>
    <t>2007B14448</t>
  </si>
  <si>
    <t>1990B00147</t>
  </si>
  <si>
    <t>7971</t>
  </si>
  <si>
    <t>1988B00126</t>
  </si>
  <si>
    <t>12676</t>
  </si>
  <si>
    <t>1986B00096</t>
  </si>
  <si>
    <t>1989B01594</t>
  </si>
  <si>
    <t>5930</t>
  </si>
  <si>
    <t>2016B00094</t>
  </si>
  <si>
    <t>90359</t>
  </si>
  <si>
    <t>2006B23484</t>
  </si>
  <si>
    <t>4666</t>
  </si>
  <si>
    <t>13367</t>
  </si>
  <si>
    <t>1955B80058</t>
  </si>
  <si>
    <t>11382</t>
  </si>
  <si>
    <t>1994B40158</t>
  </si>
  <si>
    <t>2004B01139</t>
  </si>
  <si>
    <t>2013B00699</t>
  </si>
  <si>
    <t>2001B03033</t>
  </si>
  <si>
    <t>17649</t>
  </si>
  <si>
    <t>1992B02550</t>
  </si>
  <si>
    <t>24453</t>
  </si>
  <si>
    <t>2011B01818</t>
  </si>
  <si>
    <t>19929</t>
  </si>
  <si>
    <t>2007B00613</t>
  </si>
  <si>
    <t>1973B70004</t>
  </si>
  <si>
    <t>18350</t>
  </si>
  <si>
    <t>2012B03327</t>
  </si>
  <si>
    <t>8046</t>
  </si>
  <si>
    <t>2011B23494</t>
  </si>
  <si>
    <t>2009B01392</t>
  </si>
  <si>
    <t>2011B00327</t>
  </si>
  <si>
    <t>2516</t>
  </si>
  <si>
    <t>6378</t>
  </si>
  <si>
    <t>2015B00110</t>
  </si>
  <si>
    <t>2008B00346</t>
  </si>
  <si>
    <t>2519</t>
  </si>
  <si>
    <t>7995</t>
  </si>
  <si>
    <t>2014B00655</t>
  </si>
  <si>
    <t>7811</t>
  </si>
  <si>
    <t>390</t>
  </si>
  <si>
    <t>2007B16966</t>
  </si>
  <si>
    <t>4020</t>
  </si>
  <si>
    <t>21218</t>
  </si>
  <si>
    <t>1980B00966</t>
  </si>
  <si>
    <t>1999B00170</t>
  </si>
  <si>
    <t>8744</t>
  </si>
  <si>
    <t>2014B01029</t>
  </si>
  <si>
    <t>11541</t>
  </si>
  <si>
    <t>2009B00373</t>
  </si>
  <si>
    <t>19560</t>
  </si>
  <si>
    <t>2011B01077</t>
  </si>
  <si>
    <t>31787</t>
  </si>
  <si>
    <t>2014B04264</t>
  </si>
  <si>
    <t>2002B00164</t>
  </si>
  <si>
    <t>2180</t>
  </si>
  <si>
    <t>10997</t>
  </si>
  <si>
    <t>4510</t>
  </si>
  <si>
    <t>14466</t>
  </si>
  <si>
    <t>2013B00893</t>
  </si>
  <si>
    <t>1989B00021</t>
  </si>
  <si>
    <t>2007B00154</t>
  </si>
  <si>
    <t>2002D50152</t>
  </si>
  <si>
    <t>4799</t>
  </si>
  <si>
    <t>2016B02102</t>
  </si>
  <si>
    <t>4838</t>
  </si>
  <si>
    <t>2005B00064</t>
  </si>
  <si>
    <t>6980</t>
  </si>
  <si>
    <t>3008</t>
  </si>
  <si>
    <t>2011B00162</t>
  </si>
  <si>
    <t>2015B01576</t>
  </si>
  <si>
    <t>10599</t>
  </si>
  <si>
    <t>2004B00823</t>
  </si>
  <si>
    <t>1987B10097</t>
  </si>
  <si>
    <t>12409</t>
  </si>
  <si>
    <t>2007B50471</t>
  </si>
  <si>
    <t>7223</t>
  </si>
  <si>
    <t>2970</t>
  </si>
  <si>
    <t>10950</t>
  </si>
  <si>
    <t>2006B01065</t>
  </si>
  <si>
    <t>2008B02365</t>
  </si>
  <si>
    <t>2015B00635</t>
  </si>
  <si>
    <t>5880</t>
  </si>
  <si>
    <t>1956B00009</t>
  </si>
  <si>
    <t>2935</t>
  </si>
  <si>
    <t>2006B00152</t>
  </si>
  <si>
    <t>1998B00786</t>
  </si>
  <si>
    <t>6518</t>
  </si>
  <si>
    <t>25055</t>
  </si>
  <si>
    <t>6546</t>
  </si>
  <si>
    <t>2003B00042</t>
  </si>
  <si>
    <t>2008B80203</t>
  </si>
  <si>
    <t>2011B00412</t>
  </si>
  <si>
    <t>5825</t>
  </si>
  <si>
    <t>2006B50205</t>
  </si>
  <si>
    <t>15912</t>
  </si>
  <si>
    <t>2010B04110</t>
  </si>
  <si>
    <t>"G.M.H." - GERARD MARIOTTE HOLDING</t>
  </si>
  <si>
    <t>1997B40059</t>
  </si>
  <si>
    <t>2012B00286</t>
  </si>
  <si>
    <t>2013B00246</t>
  </si>
  <si>
    <t>1976B00579</t>
  </si>
  <si>
    <t>17553</t>
  </si>
  <si>
    <t>2013B03197</t>
  </si>
  <si>
    <t>2012B00887</t>
  </si>
  <si>
    <t>2006B19909</t>
  </si>
  <si>
    <t>2006B00933</t>
  </si>
  <si>
    <t>42245</t>
  </si>
  <si>
    <t>1994B01821</t>
  </si>
  <si>
    <t>1986D00091</t>
  </si>
  <si>
    <t>2003B00231</t>
  </si>
  <si>
    <t>2009B00422</t>
  </si>
  <si>
    <t>2006B00233</t>
  </si>
  <si>
    <t>10125</t>
  </si>
  <si>
    <t>2013B00428</t>
  </si>
  <si>
    <t>10740</t>
  </si>
  <si>
    <t>1993B40156</t>
  </si>
  <si>
    <t>2164</t>
  </si>
  <si>
    <t>1956B80044</t>
  </si>
  <si>
    <t>2014B00749</t>
  </si>
  <si>
    <t>2017B00081</t>
  </si>
  <si>
    <t>2001B10021</t>
  </si>
  <si>
    <t>6868</t>
  </si>
  <si>
    <t>2001B40023</t>
  </si>
  <si>
    <t>1986B00945</t>
  </si>
  <si>
    <t>1988B01182</t>
  </si>
  <si>
    <t>1995B00001</t>
  </si>
  <si>
    <t>2002B40039</t>
  </si>
  <si>
    <t>2005B00115</t>
  </si>
  <si>
    <t>118889</t>
  </si>
  <si>
    <t>2013B05510</t>
  </si>
  <si>
    <t>2000B00032</t>
  </si>
  <si>
    <t>2297</t>
  </si>
  <si>
    <t>47388</t>
  </si>
  <si>
    <t>2013B16439</t>
  </si>
  <si>
    <t>3339</t>
  </si>
  <si>
    <t>3522</t>
  </si>
  <si>
    <t>5699</t>
  </si>
  <si>
    <t>1995D00036</t>
  </si>
  <si>
    <t>52795</t>
  </si>
  <si>
    <t>2006B04582</t>
  </si>
  <si>
    <t>5396</t>
  </si>
  <si>
    <t>2002D00203</t>
  </si>
  <si>
    <t>5451</t>
  </si>
  <si>
    <t>2001B50018</t>
  </si>
  <si>
    <t>2005B00606</t>
  </si>
  <si>
    <t>1998B00242</t>
  </si>
  <si>
    <t>2016B00024</t>
  </si>
  <si>
    <t>1987B00184</t>
  </si>
  <si>
    <t>2001B00189</t>
  </si>
  <si>
    <t>7641</t>
  </si>
  <si>
    <t>2011B01312</t>
  </si>
  <si>
    <t>5249</t>
  </si>
  <si>
    <t>2003B50121</t>
  </si>
  <si>
    <t>2010B00955</t>
  </si>
  <si>
    <t>2797</t>
  </si>
  <si>
    <t>1995B40012</t>
  </si>
  <si>
    <t>2002B20931</t>
  </si>
  <si>
    <t>2012B00623</t>
  </si>
  <si>
    <t>2015B00042</t>
  </si>
  <si>
    <t>2008B00171</t>
  </si>
  <si>
    <t>2008B00013</t>
  </si>
  <si>
    <t>95819</t>
  </si>
  <si>
    <t>2000B06806</t>
  </si>
  <si>
    <t>2014B00036</t>
  </si>
  <si>
    <t>35911</t>
  </si>
  <si>
    <t>2004B06822</t>
  </si>
  <si>
    <t>2001B00425</t>
  </si>
  <si>
    <t>3998</t>
  </si>
  <si>
    <t>1991B00413</t>
  </si>
  <si>
    <t>97018</t>
  </si>
  <si>
    <t>1999B00256</t>
  </si>
  <si>
    <t>1981B05176</t>
  </si>
  <si>
    <t>5881</t>
  </si>
  <si>
    <t>2010B00003</t>
  </si>
  <si>
    <t>2005B00320</t>
  </si>
  <si>
    <t>121818</t>
  </si>
  <si>
    <t>2015B11092</t>
  </si>
  <si>
    <t>1982B50053</t>
  </si>
  <si>
    <t>2005B01547</t>
  </si>
  <si>
    <t>40143</t>
  </si>
  <si>
    <t>2006B07424</t>
  </si>
  <si>
    <t>85611</t>
  </si>
  <si>
    <t>2015B22063</t>
  </si>
  <si>
    <t>1997B11836</t>
  </si>
  <si>
    <t>1994B00482</t>
  </si>
  <si>
    <t>93912</t>
  </si>
  <si>
    <t>2012B13143</t>
  </si>
  <si>
    <t>2004B00217</t>
  </si>
  <si>
    <t>21305</t>
  </si>
  <si>
    <t>1955B00190</t>
  </si>
  <si>
    <t>2008B00050</t>
  </si>
  <si>
    <t>2000B00435</t>
  </si>
  <si>
    <t>22865</t>
  </si>
  <si>
    <t>2011B02612</t>
  </si>
  <si>
    <t>1998B00445</t>
  </si>
  <si>
    <t>2003B70097</t>
  </si>
  <si>
    <t>2002B11603</t>
  </si>
  <si>
    <t>17763</t>
  </si>
  <si>
    <t>1989B00377</t>
  </si>
  <si>
    <t>1958B00069</t>
  </si>
  <si>
    <t>1981B00041</t>
  </si>
  <si>
    <t>2001B00152</t>
  </si>
  <si>
    <t>14565</t>
  </si>
  <si>
    <t>1992B01009</t>
  </si>
  <si>
    <t>2003B00624</t>
  </si>
  <si>
    <t>2008B00760</t>
  </si>
  <si>
    <t>2007B00817</t>
  </si>
  <si>
    <t>5298</t>
  </si>
  <si>
    <t>1991B01793</t>
  </si>
  <si>
    <t>2010B00112</t>
  </si>
  <si>
    <t>1994B00167</t>
  </si>
  <si>
    <t>12604</t>
  </si>
  <si>
    <t>2009B00246</t>
  </si>
  <si>
    <t>7755</t>
  </si>
  <si>
    <t>2008B00264</t>
  </si>
  <si>
    <t>122118</t>
  </si>
  <si>
    <t>2016B13794</t>
  </si>
  <si>
    <t>1999B00245</t>
  </si>
  <si>
    <t>1967B00596</t>
  </si>
  <si>
    <t>47258</t>
  </si>
  <si>
    <t>1986B01983</t>
  </si>
  <si>
    <t>04</t>
  </si>
  <si>
    <t>26347</t>
  </si>
  <si>
    <t>2015B05437</t>
  </si>
  <si>
    <t>2005B02404</t>
  </si>
  <si>
    <t>2016B02393</t>
  </si>
  <si>
    <t>8515</t>
  </si>
  <si>
    <t>2002B00038</t>
  </si>
  <si>
    <t>22051</t>
  </si>
  <si>
    <t>1992B01597</t>
  </si>
  <si>
    <t>2007B00142</t>
  </si>
  <si>
    <t>18216</t>
  </si>
  <si>
    <t>1980B00034</t>
  </si>
  <si>
    <t>2015B00978</t>
  </si>
  <si>
    <t>2016B00329</t>
  </si>
  <si>
    <t>26250</t>
  </si>
  <si>
    <t>2010B03498</t>
  </si>
  <si>
    <t>4908</t>
  </si>
  <si>
    <t>1996B00275</t>
  </si>
  <si>
    <t>1999B00153</t>
  </si>
  <si>
    <t>94818</t>
  </si>
  <si>
    <t>2016B25108</t>
  </si>
  <si>
    <t>1985B00161</t>
  </si>
  <si>
    <t>2002B00171</t>
  </si>
  <si>
    <t>11477</t>
  </si>
  <si>
    <t>2002B40015</t>
  </si>
  <si>
    <t>1991B00049</t>
  </si>
  <si>
    <t>2003B01810</t>
  </si>
  <si>
    <t>2015B09009</t>
  </si>
  <si>
    <t>2005B00346</t>
  </si>
  <si>
    <t>2010B00795</t>
  </si>
  <si>
    <t>1958B04194</t>
  </si>
  <si>
    <t>117581</t>
  </si>
  <si>
    <t>2010B20556</t>
  </si>
  <si>
    <t>2001B00137</t>
  </si>
  <si>
    <t>1997B08456</t>
  </si>
  <si>
    <t>Numéro de gestion</t>
  </si>
  <si>
    <t>NOM - DATE</t>
  </si>
  <si>
    <t>Actif (bilan):Autres immobilisations financiéres Amortissement année N</t>
  </si>
  <si>
    <t>Actif (bilan):Autres immobilisations financiéres Net année N</t>
  </si>
  <si>
    <t>Actif (bilan):Autres immobilisations financiéres Net année N-1</t>
  </si>
  <si>
    <t>Actif (bilan):Autres immobilisations financiéres brut Année N</t>
  </si>
  <si>
    <t>Actif (bilan):Différence de premiére consolidation Amortissement année N</t>
  </si>
  <si>
    <t>Actif (bilan):Différence de premiére consolidation Net année N</t>
  </si>
  <si>
    <t>Actif (bilan):Différence de premiére consolidation Net année N-1</t>
  </si>
  <si>
    <t>Actif (bilan):Différence de premiére consolidation brut Année N</t>
  </si>
  <si>
    <t>Actif (bilan):Matiéres premiéres, approvisionnements Amortissement année N</t>
  </si>
  <si>
    <t>Actif (bilan):Matiéres premiéres, approvisionnements Net année N</t>
  </si>
  <si>
    <t>Actif (bilan):Matiéres premiéres, approvisionnements Net année N-1</t>
  </si>
  <si>
    <t>Actif (bilan):Matiéres premiéres, approvisionnements brut Année N</t>
  </si>
  <si>
    <t>Actif (bilan):Pré�ts Amortissement année N</t>
  </si>
  <si>
    <t>Actif (bilan):Pré�ts Net année N</t>
  </si>
  <si>
    <t>Actif (bilan):Pré�ts Net année N-1</t>
  </si>
  <si>
    <t>Actif (bilan):Pré�ts brut Année N</t>
  </si>
  <si>
    <t>Actif (bilan):Valeurs mobiliéres de placement Amortissement année N</t>
  </si>
  <si>
    <t>Actif (bilan):Valeurs mobiliéres de placement Net année N</t>
  </si>
  <si>
    <t>Actif (bilan):Valeurs mobiliéres de placement Net année N-1</t>
  </si>
  <si>
    <t>Actif (bilan):Valeurs mobiliéres de placement brut Année N</t>
  </si>
  <si>
    <t>Compte de résultat (suite):Part des intéré�ts minoritaires (Résultat hors groupe) Année N</t>
  </si>
  <si>
    <t>Compte de résultat (suite):Part des intéré�ts minoritaires (Résultat hors groupe) Année N-1</t>
  </si>
  <si>
    <t>Compte de résultat (suite):Résultat net part du groupe (part de la société mére) Année N</t>
  </si>
  <si>
    <t>Compte de résultat (suite):Résultat net part du groupe (part de la société mére) Année N-1</t>
  </si>
  <si>
    <t>Compte de résultat: Achats de matiéres premiéres et autres approvisionnements Année N</t>
  </si>
  <si>
    <t>Compte de résultat: Achats de matiéres premiéres et autres approvisionnements Année N-1</t>
  </si>
  <si>
    <t>Compte de résultat: Autres intéré�ts et produits assimilés Année N</t>
  </si>
  <si>
    <t>Compte de résultat: Autres intéré�ts et produits assimilés Année N-1</t>
  </si>
  <si>
    <t>Compte de résultat: Charges nettes sur cessions de valeurs mobiliéres de placement Année N</t>
  </si>
  <si>
    <t>Compte de résultat: Charges nettes sur cessions de valeurs mobiliéres de placement Année N-1</t>
  </si>
  <si>
    <t>Compte de résultat: Dotations financiéres sur amortissements et provisions Année N</t>
  </si>
  <si>
    <t>Compte de résultat: Dotations financiéres sur amortissements et provisions Année N-1</t>
  </si>
  <si>
    <t>Compte de résultat: Intéré�ts et charges assimilées Année N</t>
  </si>
  <si>
    <t>Compte de résultat: Intéré�ts et charges assimilées Année N-1</t>
  </si>
  <si>
    <t>Compte de résultat: Produits des autres valeurs mobiliéres et créances de l� actif immobilisé Année N</t>
  </si>
  <si>
    <t>Compte de résultat: Produits des autres valeurs mobiliéres et créances de l� actif immobilisé Année N-1</t>
  </si>
  <si>
    <t>Compte de résultat: Produits nets sur cessions de valeurs mobiliéres de placement Année N</t>
  </si>
  <si>
    <t>Compte de résultat: Produits nets sur cessions de valeurs mobiliéres de placement Année N-1</t>
  </si>
  <si>
    <t>Compte de résultat: Total des charges financiéres (VI) Année N</t>
  </si>
  <si>
    <t>Compte de résultat: Total des charges financiéres (VI) Année N-1</t>
  </si>
  <si>
    <t>Compte de résultat: Variation de stock (matiéres premiéres et approvisionnements) Année N</t>
  </si>
  <si>
    <t>Compte de résultat: Variation de stock (matiéres premiéres et approvisionnements) Année N-1</t>
  </si>
  <si>
    <t>Passif (bilan):Emprunts et dettes auprés des établissements de crédit (3) Année N</t>
  </si>
  <si>
    <t>Passif (bilan):Emprunts et dettes auprés des établissements de crédit (3) Année N-1</t>
  </si>
  <si>
    <t>Passif (bilan):Emprunts et dettes financiéres divers (4) Année N</t>
  </si>
  <si>
    <t>Passif (bilan):Emprunts et dettes financiéres divers (4) Année N-1</t>
  </si>
  <si>
    <t>Actif (bilan):Pré?ts Amortissement année N</t>
  </si>
  <si>
    <t>Actif (bilan):Pré?ts Net année N</t>
  </si>
  <si>
    <t>Actif (bilan):Pré?ts Net année N-1</t>
  </si>
  <si>
    <t>Actif (bilan):Pré?ts brut Année N</t>
  </si>
  <si>
    <t>Compte de résultat (suite):Impo??ts différés Année N</t>
  </si>
  <si>
    <t>Compte de résultat (suite):Impo??ts différés Année N-1</t>
  </si>
  <si>
    <t>Compte de résultat (suite):Impo??ts sur les bénéfices Année N</t>
  </si>
  <si>
    <t>Compte de résultat (suite):Impo??ts sur les bénéfices Année N-1</t>
  </si>
  <si>
    <t>Compte de résultat (suite):Part des intéré?ts minoritaires (Résultat hors groupe) Année N</t>
  </si>
  <si>
    <t>Compte de résultat (suite):Part des intéré?ts minoritaires (Résultat hors groupe) Année N-1</t>
  </si>
  <si>
    <t>Compte de résultat (suite):Participation des salariés aux résultats de l? entreprise Année N</t>
  </si>
  <si>
    <t>Compte de résultat (suite):Participation des salariés aux résultats de l? entreprise Année N-1</t>
  </si>
  <si>
    <t>Compte de résultat: Autres intéré?ts et produits assimilés Année N</t>
  </si>
  <si>
    <t>Compte de résultat: Autres intéré?ts et produits assimilés Année N-1</t>
  </si>
  <si>
    <t>Compte de résultat: Impo??ts, taxes et versements assimilés Année N</t>
  </si>
  <si>
    <t>Compte de résultat: Impo??ts, taxes et versements assimilés Année N-1</t>
  </si>
  <si>
    <t>Compte de résultat: Intéré?ts et charges assimilées Année N</t>
  </si>
  <si>
    <t>Compte de résultat: Intéré?ts et charges assimilées Année N-1</t>
  </si>
  <si>
    <t>Compte de résultat: Produits des autres valeurs mobiliéres et créances de l? actif immobilisé Année N</t>
  </si>
  <si>
    <t>Compte de résultat: Produits des autres valeurs mobiliéres et créances de l? actif immobilisé Année N-1</t>
  </si>
  <si>
    <t>Passif (bilan):Avances et acomptes rec'?us sur commandes en cours Année N</t>
  </si>
  <si>
    <t>Passif (bilan):Avances et acomptes rec'?us sur commandes en cours Année N-1</t>
  </si>
  <si>
    <t>Passif (bilan):Impo??ts différés Année N</t>
  </si>
  <si>
    <t>Passif (bilan):Impo??ts différés Année N-1</t>
  </si>
  <si>
    <t>Code DVDRisk</t>
  </si>
  <si>
    <t>Libelle ODS</t>
  </si>
  <si>
    <t>Libellé</t>
  </si>
  <si>
    <t>CODE INPI</t>
  </si>
  <si>
    <t>CODE DVDRISK</t>
  </si>
  <si>
    <t>Frais d’établissement</t>
  </si>
  <si>
    <t xml:space="preserve">AB </t>
  </si>
  <si>
    <t xml:space="preserve">Frais de développement ou de recherche et développement </t>
  </si>
  <si>
    <t xml:space="preserve">CX </t>
  </si>
  <si>
    <t xml:space="preserve">AF </t>
  </si>
  <si>
    <t xml:space="preserve">AH </t>
  </si>
  <si>
    <t xml:space="preserve">AJ </t>
  </si>
  <si>
    <t>Avances et acomptes sur immobilisations incorporelles.</t>
  </si>
  <si>
    <t xml:space="preserve">AL </t>
  </si>
  <si>
    <t>Ecarts d’acquisition</t>
  </si>
  <si>
    <t xml:space="preserve">A1 </t>
  </si>
  <si>
    <t>Sur valeurs - goodwill</t>
  </si>
  <si>
    <t xml:space="preserve">A2 </t>
  </si>
  <si>
    <t xml:space="preserve">A3 </t>
  </si>
  <si>
    <t xml:space="preserve">AN </t>
  </si>
  <si>
    <t xml:space="preserve">AP </t>
  </si>
  <si>
    <t>Installations techniques, matériel et outillage industriels</t>
  </si>
  <si>
    <t xml:space="preserve">AR </t>
  </si>
  <si>
    <t xml:space="preserve">AT </t>
  </si>
  <si>
    <t xml:space="preserve">AV </t>
  </si>
  <si>
    <t xml:space="preserve">AX </t>
  </si>
  <si>
    <t>Participations évaluées - mise en équivalence</t>
  </si>
  <si>
    <t xml:space="preserve">CS </t>
  </si>
  <si>
    <t xml:space="preserve">CU </t>
  </si>
  <si>
    <t xml:space="preserve">BB </t>
  </si>
  <si>
    <t xml:space="preserve">BD </t>
  </si>
  <si>
    <t xml:space="preserve">BF </t>
  </si>
  <si>
    <t xml:space="preserve">BH </t>
  </si>
  <si>
    <t xml:space="preserve">A4 </t>
  </si>
  <si>
    <t xml:space="preserve">TOTAL (I) </t>
  </si>
  <si>
    <t xml:space="preserve">BJ </t>
  </si>
  <si>
    <t>Matières premières, approvisionnements</t>
  </si>
  <si>
    <t xml:space="preserve">BL </t>
  </si>
  <si>
    <t xml:space="preserve">BN </t>
  </si>
  <si>
    <t>En cours de production de services</t>
  </si>
  <si>
    <t xml:space="preserve">BP </t>
  </si>
  <si>
    <t xml:space="preserve">BR </t>
  </si>
  <si>
    <t xml:space="preserve">BT </t>
  </si>
  <si>
    <t xml:space="preserve">BV </t>
  </si>
  <si>
    <t xml:space="preserve">BX </t>
  </si>
  <si>
    <t xml:space="preserve">BZ </t>
  </si>
  <si>
    <t>Capital souscrit et appelé, non versé</t>
  </si>
  <si>
    <t xml:space="preserve">CB </t>
  </si>
  <si>
    <t xml:space="preserve">CD </t>
  </si>
  <si>
    <t xml:space="preserve">CF </t>
  </si>
  <si>
    <t>Charges constatées d’avance</t>
  </si>
  <si>
    <t xml:space="preserve">CH </t>
  </si>
  <si>
    <t>TOTAL (II)</t>
  </si>
  <si>
    <t xml:space="preserve">CJ </t>
  </si>
  <si>
    <t xml:space="preserve">Charges à répartir ou frais d’émission d’emprunt </t>
  </si>
  <si>
    <t xml:space="preserve">CW </t>
  </si>
  <si>
    <t>Primes de remboursement des obligations (IV)</t>
  </si>
  <si>
    <t xml:space="preserve">CM </t>
  </si>
  <si>
    <t>Ecarts de conversion actif (V)</t>
  </si>
  <si>
    <t xml:space="preserve">CN </t>
  </si>
  <si>
    <t>TOTAL GENERAL  (0 à V)</t>
  </si>
  <si>
    <t xml:space="preserve">CO </t>
  </si>
  <si>
    <t>Parts à moins d’un an</t>
  </si>
  <si>
    <t>Parts à plus d’un an</t>
  </si>
  <si>
    <t>Primes d’émission, de fusion, d’apport, ...</t>
  </si>
  <si>
    <t xml:space="preserve"> (dont écart d’équivalence)</t>
  </si>
  <si>
    <t>Réserve légale  (1)</t>
  </si>
  <si>
    <t>Réserves réglementées  (1)</t>
  </si>
  <si>
    <t>P1</t>
  </si>
  <si>
    <t>P2</t>
  </si>
  <si>
    <t>Subventions d’investissement</t>
  </si>
  <si>
    <t xml:space="preserve">TOTAL (I)                </t>
  </si>
  <si>
    <t>Autres</t>
  </si>
  <si>
    <t>P3</t>
  </si>
  <si>
    <t xml:space="preserve">TOTAL (II)                </t>
  </si>
  <si>
    <t>P4</t>
  </si>
  <si>
    <t>Dans les réserves</t>
  </si>
  <si>
    <t>P5</t>
  </si>
  <si>
    <t>Dans les résultats</t>
  </si>
  <si>
    <t>P6</t>
  </si>
  <si>
    <t>TOTAL (III)</t>
  </si>
  <si>
    <t>P7</t>
  </si>
  <si>
    <t>Impôts différés</t>
  </si>
  <si>
    <t>P8</t>
  </si>
  <si>
    <t>P9</t>
  </si>
  <si>
    <t xml:space="preserve">TOTAL (IV)                </t>
  </si>
  <si>
    <t>Emprunts et dettes auprès des établissements de crédit  (3)</t>
  </si>
  <si>
    <t>Emprunts et dettes financières divers  (4)</t>
  </si>
  <si>
    <t>Avances et acomptes reçus sur commandes en cours</t>
  </si>
  <si>
    <t>Produits constatés d’avance  (2)</t>
  </si>
  <si>
    <t>TOTAL (IV)</t>
  </si>
  <si>
    <t>(V)</t>
  </si>
  <si>
    <t>TOTAL GENERAL  (I à V)</t>
  </si>
  <si>
    <t xml:space="preserve">Dont réserve réglementée des plus-values à long terme </t>
  </si>
  <si>
    <t>Dettes et produits constatés d’avance à moins d’un an</t>
  </si>
  <si>
    <t>Dont concours bancaires courants, et soldes créditeurs de banques et C.C.P.</t>
  </si>
  <si>
    <t>Dont emprunts participatif</t>
  </si>
  <si>
    <t>Ventes de marchandises</t>
  </si>
  <si>
    <t>Production vendue biens</t>
  </si>
  <si>
    <t>Production vendue services</t>
  </si>
  <si>
    <t>Chiffres d’affaires nets</t>
  </si>
  <si>
    <t>Subventions d’exploitation</t>
  </si>
  <si>
    <t>Reprises sur amortissements et provisions, transfert de charges</t>
  </si>
  <si>
    <t>Total des produits d’exploitation (I)</t>
  </si>
  <si>
    <t>Achats de marchandises (y compris droits de douane)</t>
  </si>
  <si>
    <t>Variation de stock (marchandises)</t>
  </si>
  <si>
    <t xml:space="preserve">Achats de matières premières et autres approvisionnements </t>
  </si>
  <si>
    <t>Variation de stock (matières premières et approvisionnements)</t>
  </si>
  <si>
    <t>Impôts, taxes et versements assimilés</t>
  </si>
  <si>
    <t>Dot. d’exploit. - Dotations aux amortissements</t>
  </si>
  <si>
    <t>Dot. d’exploit. - Dotations aux provisions</t>
  </si>
  <si>
    <t>Dot. d’exploit. Sur actif circulant : dotations aux provisions</t>
  </si>
  <si>
    <t>Dot. d’exploit. Pour risques et charges : dotations aux provisions</t>
  </si>
  <si>
    <t xml:space="preserve">Total des charges d’exploitation (II) </t>
  </si>
  <si>
    <t>- RESULTAT D’EXPLOITATION (I - II)</t>
  </si>
  <si>
    <t>Bénéfice attribué ou perte transférée (III)</t>
  </si>
  <si>
    <t>Perte supportée ou bénéfice transféré (IV)</t>
  </si>
  <si>
    <t>Produits des autres valeurs mobilières et créances de l’actif immobilisé</t>
  </si>
  <si>
    <t>Autres intérêts et produits assimilés</t>
  </si>
  <si>
    <t>Produits nets sur cessions de valeurs mobilières de placement</t>
  </si>
  <si>
    <t>Total des produits financiers (V)</t>
  </si>
  <si>
    <t>Dotations financières sur amortissements et provisions</t>
  </si>
  <si>
    <t>Intérêts et charges assimilées</t>
  </si>
  <si>
    <t>Charges nettes sur cessions de valeurs mobilières de placement</t>
  </si>
  <si>
    <t>Total des charges financières (VI)</t>
  </si>
  <si>
    <t>- RESULTAT FINANCIER (V - VI)</t>
  </si>
  <si>
    <t>- RESULTAT COURANT AVANT IMPOTS (I - II + III - IV + V - VI)</t>
  </si>
  <si>
    <t>Total des produits exceptionnels (VII)</t>
  </si>
  <si>
    <t>Dotations exceptionnelles aux amortissements et provisions</t>
  </si>
  <si>
    <t>Total des charges exceptionnelles (V - III)</t>
  </si>
  <si>
    <t xml:space="preserve">- RESULTAT EXCEPTIONNEL (VII - VIII) </t>
  </si>
  <si>
    <t xml:space="preserve">Participation des salariés aux résultats de l’entreprise </t>
  </si>
  <si>
    <t>Impôts sur les bénéfices</t>
  </si>
  <si>
    <t>R1</t>
  </si>
  <si>
    <t>'- RESULTAT NET AVANT AMORTISSEMENT DES ECARTS D’ACQUISITION</t>
  </si>
  <si>
    <t>R2</t>
  </si>
  <si>
    <t>Dotation aux amortissements des écarts d’acquisition</t>
  </si>
  <si>
    <t>R3</t>
  </si>
  <si>
    <t>R4</t>
  </si>
  <si>
    <t xml:space="preserve">Résultat net des entreprises intégrées </t>
  </si>
  <si>
    <t xml:space="preserve">R5 </t>
  </si>
  <si>
    <t>Résultat Groupe (Résultat net consolidé)</t>
  </si>
  <si>
    <t>R6</t>
  </si>
  <si>
    <t>Part des intérêts minoritaires (Résultat hors groupe)</t>
  </si>
  <si>
    <t>R7</t>
  </si>
  <si>
    <t>Résultat net part du groupe (part de la société mère)</t>
  </si>
  <si>
    <t>R8</t>
  </si>
  <si>
    <t>Renvois : Crédit-bail mobilier</t>
  </si>
  <si>
    <t>Renvois : Crédit-bail immobilier</t>
  </si>
  <si>
    <t>Actif (bilan): Parts à moins d’un an Brut</t>
  </si>
  <si>
    <t>CP VILLE</t>
  </si>
  <si>
    <t>CODE NAF</t>
  </si>
  <si>
    <t>Confidentialité2</t>
  </si>
  <si>
    <t>Code devise2</t>
  </si>
  <si>
    <t>code_greffe2</t>
  </si>
  <si>
    <t>code_motif2</t>
  </si>
  <si>
    <t>code_origine_devise2</t>
  </si>
  <si>
    <t>code_type_bilan2</t>
  </si>
  <si>
    <t>Date de cloture de l'exercice</t>
  </si>
  <si>
    <t>Date de cloture de l'exercice n-1</t>
  </si>
  <si>
    <t>Durée de l'exercice n</t>
  </si>
  <si>
    <t>Durée de l'exercice n-1</t>
  </si>
  <si>
    <t>Siren</t>
  </si>
  <si>
    <t>Date de dépôt2</t>
  </si>
  <si>
    <t>Dénomination3</t>
  </si>
  <si>
    <t>Numéro de dépôt4</t>
  </si>
  <si>
    <t>Tribunal de commerce5</t>
  </si>
  <si>
    <t>Etat saisie6</t>
  </si>
  <si>
    <t>Motif de non-saisie7</t>
  </si>
  <si>
    <t>Intitule NAF8</t>
  </si>
  <si>
    <t>Actif (bilan): Parts à plus d’un an Brut</t>
  </si>
  <si>
    <t>Actif (bilan):Autres créances Amortissement année N</t>
  </si>
  <si>
    <t>Actif (bilan):Autres créances Net année N</t>
  </si>
  <si>
    <t>Actif (bilan):Autres créances Net année N-1</t>
  </si>
  <si>
    <t>Actif (bilan):Autres créances brut Année N</t>
  </si>
  <si>
    <t>Actif (bilan):Autres immobilisations corporelles Amortissement année N</t>
  </si>
  <si>
    <t>Actif (bilan):Autres immobilisations corporelles Net année N</t>
  </si>
  <si>
    <t>Actif (bilan):Autres immobilisations corporelles Net année N-1</t>
  </si>
  <si>
    <t>Actif (bilan):Autres immobilisations financières Amortissement année N</t>
  </si>
  <si>
    <t>Actif (bilan):Autres immobilisations financières Net année N</t>
  </si>
  <si>
    <t>Actif (bilan):Autres immobilisations financières Net année N-1</t>
  </si>
  <si>
    <t>Actif (bilan):Autres immobilisations financières brut Année N</t>
  </si>
  <si>
    <t>Actif (bilan):Autres immobilisations incorporelles Amortissement année N</t>
  </si>
  <si>
    <t>Actif (bilan):Autres immobilisations incorporelles Net année N</t>
  </si>
  <si>
    <t>Actif (bilan):Autres immobilisations incorporelles Net année N-1</t>
  </si>
  <si>
    <t>Actif (bilan):Autres participations Amortissement année N</t>
  </si>
  <si>
    <t>Actif (bilan):Autres participations Net année N</t>
  </si>
  <si>
    <t>Actif (bilan):Autres participations Net année N-1</t>
  </si>
  <si>
    <t>Actif (bilan):Autres titres immobilisés Amortissement année N</t>
  </si>
  <si>
    <t>Actif (bilan):Autres titres immobilisés Net année N</t>
  </si>
  <si>
    <t>Actif (bilan):Autres titres immobilisés Net année N-1</t>
  </si>
  <si>
    <t>Actif (bilan):Autres titres immobilisés brut Année N</t>
  </si>
  <si>
    <t>Actif (bilan):Avances et acomptes Amortissement année N</t>
  </si>
  <si>
    <t>Actif (bilan):Avances et acomptes Net année N</t>
  </si>
  <si>
    <t>Actif (bilan):Avances et acomptes Net année N-1</t>
  </si>
  <si>
    <t>Actif (bilan):Avances et acomptes sur immobilisations incorporelles Amortissement année N</t>
  </si>
  <si>
    <t>Actif (bilan):Avances et acomptes sur immobilisations incorporelles Net année N</t>
  </si>
  <si>
    <t>Actif (bilan):Avances et acomptes sur immobilisations incorporelles Net année N-1</t>
  </si>
  <si>
    <t>Actif (bilan):Avances et acomptes versés sur commandes Amortissement année N</t>
  </si>
  <si>
    <t>Actif (bilan):Avances et acomptes versés sur commandes Net année N</t>
  </si>
  <si>
    <t>Actif (bilan):Avances et acomptes versés sur commandes Net année N-1</t>
  </si>
  <si>
    <t>Actif (bilan):Avances et acomptes versés sur commandes brut Année N</t>
  </si>
  <si>
    <t>Actif (bilan):Capital souscrit et appelé, non versé Amortissement année N</t>
  </si>
  <si>
    <t>Actif (bilan):Capital souscrit et appelé, non versé Net année N</t>
  </si>
  <si>
    <t>Actif (bilan):Capital souscrit et appelé, non versé Net année N-1</t>
  </si>
  <si>
    <t>Actif (bilan):Capital souscrit et appelé, non versé brut Année N</t>
  </si>
  <si>
    <t>Actif (bilan):Capital souscrit non appelé Net année N</t>
  </si>
  <si>
    <t>Actif (bilan):Capital souscrit non appelé Net année N-1</t>
  </si>
  <si>
    <t>Actif (bilan):Capital souscrit non appelé brut Année N</t>
  </si>
  <si>
    <t>Actif (bilan):Charges à répartir ou frais d’émission d’emprunt Net année N</t>
  </si>
  <si>
    <t>Actif (bilan):Charges à répartir ou frais d’émission d’emprunt Net année N-1</t>
  </si>
  <si>
    <t>Actif (bilan):Charges à répartir ou frais d’émission d’emprunt brut Année N</t>
  </si>
  <si>
    <t>Actif (bilan):Charges constatées d’avance Amortissement année N</t>
  </si>
  <si>
    <t>Actif (bilan):Charges constatées d’avance Net année N</t>
  </si>
  <si>
    <t>Actif (bilan):Charges constatées d’avance Net année N-1</t>
  </si>
  <si>
    <t>Actif (bilan):Charges constatées d’avance brut Année N</t>
  </si>
  <si>
    <t>Actif (bilan):Clients et comptes rattachés Amortissement année N</t>
  </si>
  <si>
    <t>Actif (bilan):Clients et comptes rattachés Net année N</t>
  </si>
  <si>
    <t>Actif (bilan):Clients et comptes rattachés Net année N-1</t>
  </si>
  <si>
    <t>Actif (bilan):Clients et comptes rattachés brut Année N</t>
  </si>
  <si>
    <t>Actif (bilan):Concessions, brevets et droits similaires Amortissement année N</t>
  </si>
  <si>
    <t>Actif (bilan):Concessions, brevets et droits similaires Net année N</t>
  </si>
  <si>
    <t>Actif (bilan):Concessions, brevets et droits similaires Net année N-1</t>
  </si>
  <si>
    <t>Actif (bilan):Constructions Amortissement année N</t>
  </si>
  <si>
    <t>Actif (bilan):Constructions Net année N</t>
  </si>
  <si>
    <t>Actif (bilan):Constructions Net année N-1</t>
  </si>
  <si>
    <t>Actif (bilan):Créances rattachées à des participations Amortissement année N</t>
  </si>
  <si>
    <t>Actif (bilan):Créances rattachées à des participations Net année N</t>
  </si>
  <si>
    <t>Actif (bilan):Créances rattachées à des participations Net année N-1</t>
  </si>
  <si>
    <t>Actif (bilan):Créances rattachées à des participations brut Année N</t>
  </si>
  <si>
    <t>Actif (bilan):Différence de première consolidation Amortissement année N</t>
  </si>
  <si>
    <t>Actif (bilan):Différence de première consolidation Net année N</t>
  </si>
  <si>
    <t>Actif (bilan):Différence de première consolidation Net année N-1</t>
  </si>
  <si>
    <t>Actif (bilan):Différence de première consolidation brut Année N</t>
  </si>
  <si>
    <t>Actif (bilan):Disponibilités Amortissement année N</t>
  </si>
  <si>
    <t>Actif (bilan):Disponibilités Net année N</t>
  </si>
  <si>
    <t>Actif (bilan):Disponibilités Net année N-1</t>
  </si>
  <si>
    <t>Actif (bilan):Disponibilités brut Année N</t>
  </si>
  <si>
    <t>Actif (bilan):Ecarts de conversion actif (V) Net année N</t>
  </si>
  <si>
    <t>Actif (bilan):Ecarts de conversion actif (V) Net année N-1</t>
  </si>
  <si>
    <t>Actif (bilan):Ecarts d’acquisition Amortissement année N</t>
  </si>
  <si>
    <t>Actif (bilan):Ecarts d’acquisition Net année N</t>
  </si>
  <si>
    <t>Actif (bilan):Ecarts d’acquisition Net année N-1</t>
  </si>
  <si>
    <t>Actif (bilan):Ecarts d’acquisition brut Année N</t>
  </si>
  <si>
    <t>Actif (bilan):En cours de production de biens Amortissement année N</t>
  </si>
  <si>
    <t>Actif (bilan):En cours de production de biens Net année N</t>
  </si>
  <si>
    <t>Actif (bilan):En cours de production de biens Net année N-1</t>
  </si>
  <si>
    <t>Actif (bilan):En cours de production de services Amortissement année N</t>
  </si>
  <si>
    <t>Actif (bilan):En cours de production de services Net année N</t>
  </si>
  <si>
    <t>Actif (bilan):En cours de production de services Net année N-1</t>
  </si>
  <si>
    <t>Actif (bilan):Fonds commercial Amortissement année N</t>
  </si>
  <si>
    <t>Actif (bilan):Fonds commercial Net année N</t>
  </si>
  <si>
    <t>Actif (bilan):Fonds commercial Net année N-1</t>
  </si>
  <si>
    <t>Actif (bilan):Frais de développement ou de recherche et développement Amortissement année N</t>
  </si>
  <si>
    <t>Actif (bilan):Frais de développement ou de recherche et développement Net année N</t>
  </si>
  <si>
    <t>Actif (bilan):Frais de développement ou de recherche et développement Net année N-1</t>
  </si>
  <si>
    <t>Actif (bilan):Frais de développement ou de recherche et développement brut Année N</t>
  </si>
  <si>
    <t>Actif (bilan):Frais d’établissement Amortissement année N</t>
  </si>
  <si>
    <t>Actif (bilan):Frais d’établissement Net année N</t>
  </si>
  <si>
    <t>Actif (bilan):Frais d’établissement Net année N-1</t>
  </si>
  <si>
    <t>Actif (bilan):Frais d’établissement brut Année N</t>
  </si>
  <si>
    <t>Actif (bilan):Immobilisations en cours Amortissement année N</t>
  </si>
  <si>
    <t>Actif (bilan):Immobilisations en cours Net année N</t>
  </si>
  <si>
    <t>Actif (bilan):Immobilisations en cours Net année N-1</t>
  </si>
  <si>
    <t>Actif (bilan):Installations techniques, matériel et outillage industriels Amortissement année N</t>
  </si>
  <si>
    <t>Actif (bilan):Installations techniques, matériel et outillage industriels Net année N</t>
  </si>
  <si>
    <t>Actif (bilan):Installations techniques, matériel et outillage industriels Net année N-1</t>
  </si>
  <si>
    <t>Actif (bilan):Installations techniques, matériel et outillage industriels brut Année N</t>
  </si>
  <si>
    <t>Actif (bilan):Marchandises Amortissement année N</t>
  </si>
  <si>
    <t>Actif (bilan):Marchandises Net année N</t>
  </si>
  <si>
    <t>Actif (bilan):Marchandises Net année N-1</t>
  </si>
  <si>
    <t>Actif (bilan):Matières premières, approvisionnements Amortissement année N</t>
  </si>
  <si>
    <t>Actif (bilan):Matières premières, approvisionnements Net année N</t>
  </si>
  <si>
    <t>Actif (bilan):Matières premières, approvisionnements Net année N-1</t>
  </si>
  <si>
    <t>Actif (bilan):Matières premières, approvisionnements brut Année N</t>
  </si>
  <si>
    <t>Actif (bilan):Participations évaluées - mise en équivalence Amortissement année N</t>
  </si>
  <si>
    <t>Actif (bilan):Participations évaluées - mise en équivalence Net année N</t>
  </si>
  <si>
    <t>Actif (bilan):Participations évaluées - mise en équivalence Net année N-1</t>
  </si>
  <si>
    <t>Actif (bilan):Participations évaluées - mise en équivalence brut Année N</t>
  </si>
  <si>
    <t>Actif (bilan):Prêts Amortissement année N</t>
  </si>
  <si>
    <t>Actif (bilan):Prêts Net année N</t>
  </si>
  <si>
    <t>Actif (bilan):Prêts Net année N-1</t>
  </si>
  <si>
    <t>Actif (bilan):Prêts brut Année N</t>
  </si>
  <si>
    <t>Actif (bilan):Primes de remboursement des obligations (IV) Net année N</t>
  </si>
  <si>
    <t>Actif (bilan):Primes de remboursement des obligations (IV) Net année N-1</t>
  </si>
  <si>
    <t>Actif (bilan):Produits intermédiaires et finis Amortissement année N</t>
  </si>
  <si>
    <t>Actif (bilan):Produits intermédiaires et finis Net année N</t>
  </si>
  <si>
    <t>Actif (bilan):Produits intermédiaires et finis Net année N-1</t>
  </si>
  <si>
    <t>Actif (bilan):Produits intermédiaires et finis brut Année N</t>
  </si>
  <si>
    <t>Actif (bilan):Sur valeurs - goodwill Amortissement année N</t>
  </si>
  <si>
    <t>Actif (bilan):Sur valeurs - goodwill Net année N</t>
  </si>
  <si>
    <t>Actif (bilan):Sur valeurs - goodwill Net année N-1</t>
  </si>
  <si>
    <t>Actif (bilan):TOTAL (I) Amortissement année N</t>
  </si>
  <si>
    <t>Actif (bilan):TOTAL (I) Net année N</t>
  </si>
  <si>
    <t>Actif (bilan):TOTAL (I) Net année N-1</t>
  </si>
  <si>
    <t>Actif (bilan):TOTAL (II) Amortissement année N</t>
  </si>
  <si>
    <t>Actif (bilan):TOTAL (II) Net année N</t>
  </si>
  <si>
    <t>Actif (bilan):TOTAL (II) Net année N-1</t>
  </si>
  <si>
    <t>Actif (bilan):TOTAL GENERAL (0 à V) Amortissement année N</t>
  </si>
  <si>
    <t>Actif (bilan):TOTAL GENERAL (0 à V) Net année N</t>
  </si>
  <si>
    <t>Actif (bilan):TOTAL GENERAL (0 à V) Net année N-1</t>
  </si>
  <si>
    <t>Actif (bilan):TOTAL GENERAL (0 à V) brut Année N</t>
  </si>
  <si>
    <t>Actif (bilan):Terrains Amortissement année N</t>
  </si>
  <si>
    <t>Actif (bilan):Terrains Net année N</t>
  </si>
  <si>
    <t>Actif (bilan):Terrains Net année N-1</t>
  </si>
  <si>
    <t>Actif (bilan):Titres mis en équivalence Amortissement année N</t>
  </si>
  <si>
    <t>Actif (bilan):Titres mis en équivalence Net année N</t>
  </si>
  <si>
    <t>Actif (bilan):Titres mis en équivalence Net année N-1</t>
  </si>
  <si>
    <t>Actif (bilan):Titres mis en équivalence brut Année N</t>
  </si>
  <si>
    <t>Actif (bilan):Valeurs mobilières de placement Amortissement année N</t>
  </si>
  <si>
    <t>Actif (bilan):Valeurs mobilières de placement Net année N</t>
  </si>
  <si>
    <t>Actif (bilan):Valeurs mobilières de placement Net année N-1</t>
  </si>
  <si>
    <t>Actif (bilan):Valeurs mobilières de placement brut Année N</t>
  </si>
  <si>
    <t>Compte de résultat (suite):- RESULTAT EXCEPTIONNEL (VII - VIII) Année N</t>
  </si>
  <si>
    <t>Compte de résultat (suite):- RESULTAT EXCEPTIONNEL (VII - VIII) Année N-1</t>
  </si>
  <si>
    <t>Compte de résultat (suite):- RESULTAT NET AVANT AMORTISSEMENT DES ECARTS D’ACQUISITION Année N</t>
  </si>
  <si>
    <t>Compte de résultat (suite):- RESULTAT NET AVANT AMORTISSEMENT DES ECARTS D’ACQUISITION Année N-1</t>
  </si>
  <si>
    <t>Compte de résultat (suite):Charges exceptionnelles sur opérations de gestion Année N</t>
  </si>
  <si>
    <t>Compte de résultat (suite):Charges exceptionnelles sur opérations de gestion Année N-1</t>
  </si>
  <si>
    <t>Compte de résultat (suite):Charges exceptionnelles sur opérations en capital Année N</t>
  </si>
  <si>
    <t>Compte de résultat (suite):Charges exceptionnelles sur opérations en capital Année N-1</t>
  </si>
  <si>
    <t>Compte de résultat (suite):Dotation aux amortissements des écarts d’acquisition Année N</t>
  </si>
  <si>
    <t>Compte de résultat (suite):Dotation aux amortissements des écarts d’acquisition Année N-1</t>
  </si>
  <si>
    <t>Compte de résultat (suite):Dotations exceptionnelles aux amortissements et provisions Année N</t>
  </si>
  <si>
    <t>Compte de résultat (suite):Dotations exceptionnelles aux amortissements et provisions Année N-1</t>
  </si>
  <si>
    <t>Compte de résultat (suite):Impôts différés Année N</t>
  </si>
  <si>
    <t>Compte de résultat (suite):Impôts différés Année N-1</t>
  </si>
  <si>
    <t>Compte de résultat (suite):Impôts sur les bénéfices Année N</t>
  </si>
  <si>
    <t>Compte de résultat (suite):Impôts sur les bénéfices Année N-1</t>
  </si>
  <si>
    <t>Compte de résultat (suite):Part des intérêts minoritaires (Résultat hors groupe) Année N</t>
  </si>
  <si>
    <t>Compte de résultat (suite):Part des intérêts minoritaires (Résultat hors groupe) Année N-1</t>
  </si>
  <si>
    <t>Compte de résultat (suite):Participation des salariés aux résultats de l’entreprise Année N</t>
  </si>
  <si>
    <t>Compte de résultat (suite):Participation des salariés aux résultats de l’entreprise Année N-1</t>
  </si>
  <si>
    <t>Compte de résultat (suite):Produits exceptionnels sur opérations de gestion Année N</t>
  </si>
  <si>
    <t>Compte de résultat (suite):Produits exceptionnels sur opérations de gestion Année N-1</t>
  </si>
  <si>
    <t>Compte de résultat (suite):Produits exceptionnels sur opérations en capital Année N</t>
  </si>
  <si>
    <t>Compte de résultat (suite):Produits exceptionnels sur opérations en capital Année N-1</t>
  </si>
  <si>
    <t>Compte de résultat (suite):Renvois : Crédit-bail immobilier Année N</t>
  </si>
  <si>
    <t>Compte de résultat (suite):Renvois : Crédit-bail immobilier Année N-1</t>
  </si>
  <si>
    <t>Compte de résultat (suite):Renvois : Crédit-bail mobilier Année N</t>
  </si>
  <si>
    <t>Compte de résultat (suite):Renvois : Crédit-bail mobilier Année N-1</t>
  </si>
  <si>
    <t>Compte de résultat (suite):Reprises sur provisions et transferts de charges Année N</t>
  </si>
  <si>
    <t>Compte de résultat (suite):Reprises sur provisions et transferts de charges Année N-1</t>
  </si>
  <si>
    <t>Compte de résultat (suite):Résultat Groupe (Résultat net consolidé) Année N</t>
  </si>
  <si>
    <t>Compte de résultat (suite):Résultat Groupe (Résultat net consolidé) Année N-1</t>
  </si>
  <si>
    <t>Compte de résultat (suite):Résultat net des entreprises intégrées Année N</t>
  </si>
  <si>
    <t>Compte de résultat (suite):Résultat net des entreprises intégrées Année N-1</t>
  </si>
  <si>
    <t>Compte de résultat (suite):Résultat net des sociétés mises en équivalence Année N</t>
  </si>
  <si>
    <t>Compte de résultat (suite):Résultat net des sociétés mises en équivalence Année N-1</t>
  </si>
  <si>
    <t>Compte de résultat (suite):Résultat net part du groupe (part de la société mère) Année N</t>
  </si>
  <si>
    <t>Compte de résultat (suite):Résultat net part du groupe (part de la société mère) Année N-1</t>
  </si>
  <si>
    <t>Compte de résultat (suite):Total des charges exceptionnelles (VIII) Année N</t>
  </si>
  <si>
    <t>Compte de résultat (suite):Total des charges exceptionnelles (VIII) Année N-1</t>
  </si>
  <si>
    <t>Compte de résultat (suite):Total des produits exceptionnels (VII) Année N</t>
  </si>
  <si>
    <t>Compte de résultat (suite):Total des produits exceptionnels (VII) Année N-1</t>
  </si>
  <si>
    <t>Compte de résultat: Achats de matières premières et autres approvisionnements Année N</t>
  </si>
  <si>
    <t>Compte de résultat: Achats de matières premières et autres approvisionnements Année N-1</t>
  </si>
  <si>
    <t>Compte de résultat: Autres intérêts et produits assimilés Année N</t>
  </si>
  <si>
    <t>Compte de résultat: Autres intérêts et produits assimilés Année N-1</t>
  </si>
  <si>
    <t>Compte de résultat: Bénéfice attribué ou perte transférée (III) Année N</t>
  </si>
  <si>
    <t>Compte de résultat: Bénéfice attribué ou perte transférée (III) Année N-1</t>
  </si>
  <si>
    <t>Compte de résultat: Charges nettes sur cessions de valeurs mobilières de placement Année N</t>
  </si>
  <si>
    <t>Compte de résultat: Charges nettes sur cessions de valeurs mobilières de placement Année N-1</t>
  </si>
  <si>
    <t>Compte de résultat: Différences négatives de change Année N</t>
  </si>
  <si>
    <t>Compte de résultat: Différences négatives de change Année N-1</t>
  </si>
  <si>
    <t>Compte de résultat: Différences positives de change Année N</t>
  </si>
  <si>
    <t>Compte de résultat: Différences positives de change Année N-1</t>
  </si>
  <si>
    <t>Compte de résultat: Dot. d’exploit. - Dotations aux amortissements Année N</t>
  </si>
  <si>
    <t>Compte de résultat: Dot. d’exploit. - Dotations aux amortissements Année N-1</t>
  </si>
  <si>
    <t>Compte de résultat: Dot. d’exploit. - Dotations aux provisions Année N</t>
  </si>
  <si>
    <t>Compte de résultat: Dot. d’exploit. - Dotations aux provisions Année N-1</t>
  </si>
  <si>
    <t>Compte de résultat: Dot. d’exploit. Pour risques et charges : dotations aux provisions Année N</t>
  </si>
  <si>
    <t>Compte de résultat: Dot. d’exploit. Pour risques et charges : dotations aux provisions Année N-1</t>
  </si>
  <si>
    <t>Compte de résultat: Dot. d’exploit. Sur actif circulant : dotations aux provisions Année N</t>
  </si>
  <si>
    <t>Compte de résultat: Dot. d’exploit. Sur actif circulant : dotations aux provisions Année N-1</t>
  </si>
  <si>
    <t>Compte de résultat: Dotations financières sur amortissements et provisions Année N</t>
  </si>
  <si>
    <t>Compte de résultat: Dotations financières sur amortissements et provisions Année N-1</t>
  </si>
  <si>
    <t>Compte de résultat: Impôts, taxes et versements assimilés Année N</t>
  </si>
  <si>
    <t>Compte de résultat: Impôts, taxes et versements assimilés Année N-1</t>
  </si>
  <si>
    <t>Compte de résultat: Intérêts et charges assimilées Année N</t>
  </si>
  <si>
    <t>Compte de résultat: Intérêts et charges assimilées Année N-1</t>
  </si>
  <si>
    <t>Compte de résultat: Perte supportée ou bénéfice transféré (IV) Année N</t>
  </si>
  <si>
    <t>Compte de résultat: Perte supportée ou bénéfice transféré (IV) Année N-1</t>
  </si>
  <si>
    <t>Compte de résultat: Production immobilisée Année N</t>
  </si>
  <si>
    <t>Compte de résultat: Production immobilisée Année N-1</t>
  </si>
  <si>
    <t>Compte de résultat: Production stockée Année N</t>
  </si>
  <si>
    <t>Compte de résultat: Production stockée Année N-1</t>
  </si>
  <si>
    <t>Compte de résultat: Produits des autres valeurs mobilières et créances de l’actif immobilisé Année N</t>
  </si>
  <si>
    <t>Compte de résultat: Produits des autres valeurs mobilières et créances de l’actif immobilisé Année N-1</t>
  </si>
  <si>
    <t>Compte de résultat: Produits nets sur cessions de valeurs mobilières de placement Année N</t>
  </si>
  <si>
    <t>Compte de résultat: Produits nets sur cessions de valeurs mobilières de placement Année N-1</t>
  </si>
  <si>
    <t>Compte de résultat: RESULTAT D’EXPLOITATION (I - II) Année N</t>
  </si>
  <si>
    <t>Compte de résultat: RESULTAT D’EXPLOITATION (I - II) Année N-1</t>
  </si>
  <si>
    <t>Compte de résultat: Subventions d’exploitation Année N</t>
  </si>
  <si>
    <t>Compte de résultat: Subventions d’exploitation Année N-1</t>
  </si>
  <si>
    <t>Compte de résultat: Total des charges d’exploitation (II) Année N</t>
  </si>
  <si>
    <t>Compte de résultat: Total des charges d’exploitation (II) Année N-1</t>
  </si>
  <si>
    <t>Compte de résultat: Total des charges financières (VI) Année N</t>
  </si>
  <si>
    <t>Compte de résultat: Total des charges financières (VI) Année N-1</t>
  </si>
  <si>
    <t>Compte de résultat: Total des produits d’exploitation (I) Année N</t>
  </si>
  <si>
    <t>Compte de résultat: Total des produits d’exploitation (I) Année N-1</t>
  </si>
  <si>
    <t>Compte de résultat: Variation de stock (matières premières et approvisionnements) Année N</t>
  </si>
  <si>
    <t>Compte de résultat: Variation de stock (matières premières et approvisionnements) Année N-1</t>
  </si>
  <si>
    <t>Compte de résultat:Chiffres d’affaires nets Export année N</t>
  </si>
  <si>
    <t>Compte de résultat:Chiffres d’affaires nets France Année N</t>
  </si>
  <si>
    <t>Compte de résultat:Chiffres d’affaires nets Total année N</t>
  </si>
  <si>
    <t>Compte de résultat:Chiffres d’affaires nets Total année N-1</t>
  </si>
  <si>
    <t>Compte de résultat:Production vendue biens Export année N</t>
  </si>
  <si>
    <t>Compte de résultat:Production vendue biens Total année N</t>
  </si>
  <si>
    <t>Compte de résultat:Production vendue biens Total année N-1</t>
  </si>
  <si>
    <t>Compte de résultat:Production vendue services Export année N</t>
  </si>
  <si>
    <t>Compte de résultat:Production vendue services Total année N</t>
  </si>
  <si>
    <t>Compte de résultat:Production vendue services Total année N-1</t>
  </si>
  <si>
    <t>Compte de résultat:Ventes de marchandises Export année N</t>
  </si>
  <si>
    <t>Compte de résultat:Ventes de marchandises Total année N</t>
  </si>
  <si>
    <t>Compte de résultat:Ventes de marchandises Total année N-1</t>
  </si>
  <si>
    <t>Passif (bilan): (V) Année N</t>
  </si>
  <si>
    <t>Passif (bilan): (V) Année N-1</t>
  </si>
  <si>
    <t>Passif (bilan):(dont écart d’équivalence) Année N</t>
  </si>
  <si>
    <t>Passif (bilan):(dont écart d’équivalence) Année N-1</t>
  </si>
  <si>
    <t>Passif (bilan):Autres Année N</t>
  </si>
  <si>
    <t>Passif (bilan):Autres Année N-1</t>
  </si>
  <si>
    <t>Passif (bilan):Autres dettes Année N</t>
  </si>
  <si>
    <t>Passif (bilan):Autres dettes Année N-1</t>
  </si>
  <si>
    <t>Passif (bilan):Autres emprunts obligataires Année N</t>
  </si>
  <si>
    <t>Passif (bilan):Autres emprunts obligataires Année N-1</t>
  </si>
  <si>
    <t>Passif (bilan):Autres réserves Année N</t>
  </si>
  <si>
    <t>Passif (bilan):Autres réserves Année N-1</t>
  </si>
  <si>
    <t>Passif (bilan):Avances conditionnées Année N</t>
  </si>
  <si>
    <t>Passif (bilan):Avances conditionnées Année N-1</t>
  </si>
  <si>
    <t>Passif (bilan):Avances et acomptes reçus sur commandes en cours Année N</t>
  </si>
  <si>
    <t>Passif (bilan):Avances et acomptes reçus sur commandes en cours Année N-1</t>
  </si>
  <si>
    <t>Passif (bilan):Capital social ou individuel Année N</t>
  </si>
  <si>
    <t>Passif (bilan):Capital social ou individuel Année N-1</t>
  </si>
  <si>
    <t>Passif (bilan):Dans les réserves Année N</t>
  </si>
  <si>
    <t>Passif (bilan):Dans les réserves Année N-1</t>
  </si>
  <si>
    <t>Passif (bilan):Dans les résultats Année N</t>
  </si>
  <si>
    <t>Passif (bilan):Dans les résultats Année N-1</t>
  </si>
  <si>
    <t>Passif (bilan):Dettes et produits constatés d’avance à moins d’un an Année N</t>
  </si>
  <si>
    <t>Passif (bilan):Dettes et produits constatés d’avance à moins d’un an Année N-1</t>
  </si>
  <si>
    <t>Passif (bilan):Dettes fiscales et sociales Année N</t>
  </si>
  <si>
    <t>Passif (bilan):Dettes fiscales et sociales Année N-1</t>
  </si>
  <si>
    <t>Passif (bilan):Dettes fournisseurs et comptes rattachés Année N</t>
  </si>
  <si>
    <t>Passif (bilan):Dettes fournisseurs et comptes rattachés Année N-1</t>
  </si>
  <si>
    <t>Passif (bilan):Dettes sur immobilisations et comptes rattachés Année N</t>
  </si>
  <si>
    <t>Passif (bilan):Dettes sur immobilisations et comptes rattachés Année N-1</t>
  </si>
  <si>
    <t>Passif (bilan):Dont concours bancaires courants, et soldes créditeurs de banques et C.C.P. Année N</t>
  </si>
  <si>
    <t>Passif (bilan):Dont concours bancaires courants, et soldes créditeurs de banques et C.C.P. Année N-1</t>
  </si>
  <si>
    <t>Passif (bilan):Dont emprunts participatifs Année N</t>
  </si>
  <si>
    <t>Passif (bilan):Dont emprunts participatifs Année N-1</t>
  </si>
  <si>
    <t>Passif (bilan):Dont réserve réglementée des plus-values à long terme Année N</t>
  </si>
  <si>
    <t>Passif (bilan):Dont réserve réglementée des plus-values à long terme Année N-1</t>
  </si>
  <si>
    <t>Passif (bilan):Ecarts de conversion Année N</t>
  </si>
  <si>
    <t>Passif (bilan):Ecarts de conversion Année N-1</t>
  </si>
  <si>
    <t>Passif (bilan):Ecarts de réévaluation Année N</t>
  </si>
  <si>
    <t>Passif (bilan):Ecarts de réévaluation Année N-1</t>
  </si>
  <si>
    <t>Passif (bilan):Ecarts d’acquisition Année N</t>
  </si>
  <si>
    <t>Passif (bilan):Ecarts d’acquisition Année N-1</t>
  </si>
  <si>
    <t>Passif (bilan):Emprunts et dettes auprès des établissements de crédit (3) Année N</t>
  </si>
  <si>
    <t>Passif (bilan):Emprunts et dettes auprès des établissements de crédit (3) Année N-1</t>
  </si>
  <si>
    <t>Passif (bilan):Emprunts et dettes financières divers (4) Année N</t>
  </si>
  <si>
    <t>Passif (bilan):Emprunts et dettes financières divers (4) Année N-1</t>
  </si>
  <si>
    <t>Passif (bilan):Emprunts obligataires convertibles Année N</t>
  </si>
  <si>
    <t>Passif (bilan):Emprunts obligataires convertibles Année N-1</t>
  </si>
  <si>
    <t>Passif (bilan):Impôts différés Année N</t>
  </si>
  <si>
    <t>Passif (bilan):Impôts différés Année N-1</t>
  </si>
  <si>
    <t>Passif (bilan):Primes d’émission, de fusion, d’apport Année N</t>
  </si>
  <si>
    <t>Passif (bilan):Primes d’émission, de fusion, d’apport Année N-1</t>
  </si>
  <si>
    <t>Passif (bilan):Produit des émissions de titres participatifs Année N</t>
  </si>
  <si>
    <t>Passif (bilan):Produit des émissions de titres participatifs Année N-1</t>
  </si>
  <si>
    <t>Passif (bilan):Produits constatés d’avance (2) Année N</t>
  </si>
  <si>
    <t>Passif (bilan):Produits constatés d’avance (2) Année N-1</t>
  </si>
  <si>
    <t>Passif (bilan):Provisions pour charges Année N</t>
  </si>
  <si>
    <t>Passif (bilan):Provisions pour charges Année N-1</t>
  </si>
  <si>
    <t>Passif (bilan):Provisions pour risques Année N</t>
  </si>
  <si>
    <t>Passif (bilan):Provisions pour risques Année N-1</t>
  </si>
  <si>
    <t>Passif (bilan):Provisions réglementées Année N</t>
  </si>
  <si>
    <t>Passif (bilan):Provisions réglementées Année N-1</t>
  </si>
  <si>
    <t>Passif (bilan):Report à nouveau Année N</t>
  </si>
  <si>
    <t>Passif (bilan):Report à nouveau Année N-1</t>
  </si>
  <si>
    <t>Passif (bilan):Réserve légale (1) Année N</t>
  </si>
  <si>
    <t>Passif (bilan):Réserve légale (1) Année N-1</t>
  </si>
  <si>
    <t>Passif (bilan):Réserves réglementées (1) Année N</t>
  </si>
  <si>
    <t>Passif (bilan):Réserves réglementées (1) Année N-1</t>
  </si>
  <si>
    <t>Passif (bilan):Réserves statutaires ou contractuelles Année N</t>
  </si>
  <si>
    <t>Passif (bilan):Réserves statutaires ou contractuelles Année N-1</t>
  </si>
  <si>
    <t>Passif (bilan):Résultat consolidé part du groupe Année N</t>
  </si>
  <si>
    <t>Passif (bilan):Résultat consolidé part du groupe Année N-1</t>
  </si>
  <si>
    <t>Passif (bilan):Subventions d’investissement Année N</t>
  </si>
  <si>
    <t>Passif (bilan):Subventions d’investissement Année N-1</t>
  </si>
  <si>
    <t>Passif (bilan):TOTAL (I) Année N</t>
  </si>
  <si>
    <t>Passif (bilan):TOTAL (I) Année N-1</t>
  </si>
  <si>
    <t>Passif (bilan):TOTAL (II) Année N</t>
  </si>
  <si>
    <t>Passif (bilan):TOTAL (II) Année N-1</t>
  </si>
  <si>
    <t>Passif (bilan):TOTAL (III) Année N</t>
  </si>
  <si>
    <t>Passif (bilan):TOTAL (III) Année N-1</t>
  </si>
  <si>
    <t>Passif (bilan):TOTAL (IV) Année N</t>
  </si>
  <si>
    <t>Passif (bilan):TOTAL (IV) Année N-1</t>
  </si>
  <si>
    <t>Passif (bilan):TOTAL GENERAL (I à V) Année N</t>
  </si>
  <si>
    <t>Passif (bilan):TOTAL GENERAL (I à V) Année N-1</t>
  </si>
  <si>
    <t>New Value</t>
  </si>
  <si>
    <t>Ordre logique</t>
  </si>
  <si>
    <t>ordere ODS</t>
  </si>
  <si>
    <t>value</t>
  </si>
  <si>
    <t>BRUT N</t>
  </si>
  <si>
    <t>Net N</t>
  </si>
  <si>
    <t>Net n-1</t>
  </si>
  <si>
    <t>NOM</t>
  </si>
  <si>
    <t>CP_VILLE</t>
  </si>
  <si>
    <t>Adr</t>
  </si>
  <si>
    <t>Comptes annuels saisis avec des incohérences comptables à la source du document</t>
  </si>
  <si>
    <t>61000 Alençon</t>
  </si>
  <si>
    <t>Comptes annuels non saisis - Reçus en double exemplaire (bilan «rescanné »)</t>
  </si>
  <si>
    <t>B2017/006860</t>
  </si>
  <si>
    <t>NEXEYA INVEST</t>
  </si>
  <si>
    <t>2014B00983</t>
  </si>
  <si>
    <t>794310821</t>
  </si>
  <si>
    <t>03500 Saint-Pourçain-sur-Sioule</t>
  </si>
  <si>
    <t>55553</t>
  </si>
  <si>
    <t>Document non saisi - Société étrangère</t>
  </si>
  <si>
    <t>GAMM VERT SUD ET EST</t>
  </si>
  <si>
    <t>B2017/051359</t>
  </si>
  <si>
    <t>1995B02419</t>
  </si>
  <si>
    <t>401701628</t>
  </si>
  <si>
    <t>RS FINANCE</t>
  </si>
  <si>
    <t>12714</t>
  </si>
  <si>
    <t>2011B01506</t>
  </si>
  <si>
    <t>538791559</t>
  </si>
  <si>
    <t>4677Z</t>
  </si>
  <si>
    <t>RECUP. 44</t>
  </si>
  <si>
    <t>19874</t>
  </si>
  <si>
    <t>1985B00253</t>
  </si>
  <si>
    <t>332335322</t>
  </si>
  <si>
    <t>Commerce de gros (commerce interentreprises) de déchets et débris</t>
  </si>
  <si>
    <t>Fabrication d'autres vêtements et accessoires</t>
  </si>
  <si>
    <t>CYBERGUN</t>
  </si>
  <si>
    <t>19385</t>
  </si>
  <si>
    <t>1993B02203</t>
  </si>
  <si>
    <t>337643795</t>
  </si>
  <si>
    <t>71106 Chalon-sur-Saône</t>
  </si>
  <si>
    <t>J.P.J.D. SCA</t>
  </si>
  <si>
    <t>2008B21556</t>
  </si>
  <si>
    <t>509556908</t>
  </si>
  <si>
    <t>B2018/000204</t>
  </si>
  <si>
    <t>VIVESCIA INDUSTRIES</t>
  </si>
  <si>
    <t>1988B00140</t>
  </si>
  <si>
    <t>344444021</t>
  </si>
  <si>
    <t>Édition de revues et périodiques</t>
  </si>
  <si>
    <t>T.M. GROUP INVESTMENT HOLDING</t>
  </si>
  <si>
    <t>B2018/000108</t>
  </si>
  <si>
    <t>2004B00050</t>
  </si>
  <si>
    <t>451905087</t>
  </si>
  <si>
    <t>B2017/016767</t>
  </si>
  <si>
    <t>86100 Châtellerault</t>
  </si>
  <si>
    <t>B2018/000001</t>
  </si>
  <si>
    <t>LAUCLAND</t>
  </si>
  <si>
    <t>2006B00044</t>
  </si>
  <si>
    <t>488341579</t>
  </si>
  <si>
    <t>ADP EUROPE</t>
  </si>
  <si>
    <t>1998B00227</t>
  </si>
  <si>
    <t>403244130</t>
  </si>
  <si>
    <t>B2018/002174</t>
  </si>
  <si>
    <t>85700 LA MEILLERAIE-TILLAY</t>
  </si>
  <si>
    <t>SOCIETE DES TRANSPORTS ANTOINE ET CIE</t>
  </si>
  <si>
    <t>14533</t>
  </si>
  <si>
    <t>1975B00101</t>
  </si>
  <si>
    <t>304397557</t>
  </si>
  <si>
    <t>EDICE</t>
  </si>
  <si>
    <t>2010B01054</t>
  </si>
  <si>
    <t>519970784</t>
  </si>
  <si>
    <t>ROMANDIS II</t>
  </si>
  <si>
    <t>B2018/000254</t>
  </si>
  <si>
    <t>2011B00630</t>
  </si>
  <si>
    <t>532153442</t>
  </si>
  <si>
    <t>F INICIATIVAS</t>
  </si>
  <si>
    <t>2010B06458</t>
  </si>
  <si>
    <t>499154557</t>
  </si>
  <si>
    <t>GROUPE WINNCARE</t>
  </si>
  <si>
    <t>2014B07250</t>
  </si>
  <si>
    <t>799730759</t>
  </si>
  <si>
    <t>REPUBLIQUE TCHEQUE</t>
  </si>
  <si>
    <t>Varroc Lighting Systems, s.r.o.</t>
  </si>
  <si>
    <t>2014B03078</t>
  </si>
  <si>
    <t>753011188</t>
  </si>
  <si>
    <t>92390 VILLENEUVE LA GARENNE</t>
  </si>
  <si>
    <t>RACE INDUSTRIES</t>
  </si>
  <si>
    <t>3615</t>
  </si>
  <si>
    <t>2015B03721</t>
  </si>
  <si>
    <t>811337203</t>
  </si>
  <si>
    <t>B2018/002177</t>
  </si>
  <si>
    <t>SOCIETE DE PARTICIPATION DE RESTRUCTURATION ET DE GESTION SO</t>
  </si>
  <si>
    <t>1979B07946</t>
  </si>
  <si>
    <t>950024497</t>
  </si>
  <si>
    <t>42110 FEURS</t>
  </si>
  <si>
    <t>B2018/000112</t>
  </si>
  <si>
    <t>MAYENCE</t>
  </si>
  <si>
    <t>1997B04342</t>
  </si>
  <si>
    <t>391426350</t>
  </si>
  <si>
    <t>25770 VAUX LES PRES</t>
  </si>
  <si>
    <t>COOPERATIVE AGRICOLE TERRE COMTOISE</t>
  </si>
  <si>
    <t>2002D00299</t>
  </si>
  <si>
    <t>775570955</t>
  </si>
  <si>
    <t>83700 Saint-Raphaël</t>
  </si>
  <si>
    <t>38113 VEUREY-VOROIZE</t>
  </si>
  <si>
    <t>SOGREBAT INVESTISSEMENT</t>
  </si>
  <si>
    <t>B2018/000630</t>
  </si>
  <si>
    <t>2008B00044</t>
  </si>
  <si>
    <t>502010978</t>
  </si>
  <si>
    <t>JVS NEXT</t>
  </si>
  <si>
    <t>2016B00130</t>
  </si>
  <si>
    <t>820172013</t>
  </si>
  <si>
    <t>42160 ANDREZIEUX-BOUTHEON</t>
  </si>
  <si>
    <t>B2018/000928</t>
  </si>
  <si>
    <t>HOLDING CME</t>
  </si>
  <si>
    <t>B2018/000923</t>
  </si>
  <si>
    <t>2017B00667</t>
  </si>
  <si>
    <t>789759669</t>
  </si>
  <si>
    <t>VIRY EXPANSION</t>
  </si>
  <si>
    <t>19384</t>
  </si>
  <si>
    <t>2012B02124</t>
  </si>
  <si>
    <t>507806388</t>
  </si>
  <si>
    <t>B2018/000156</t>
  </si>
  <si>
    <t>SILVER SKI HOLIDAYS LIMITED</t>
  </si>
  <si>
    <t>1993B50244</t>
  </si>
  <si>
    <t>391505823</t>
  </si>
  <si>
    <t>GROUPE PHILIPPE BOULOUX</t>
  </si>
  <si>
    <t>2000B00286</t>
  </si>
  <si>
    <t>433854353</t>
  </si>
  <si>
    <t>49380 Bellevigne-en-Layon</t>
  </si>
  <si>
    <t>SOCIETE COOPERATIVE AGRICOLE DU PAYS DE LOIRE</t>
  </si>
  <si>
    <t>2002D00568</t>
  </si>
  <si>
    <t>775610447</t>
  </si>
  <si>
    <t>95190 GOUSSAINVILLE</t>
  </si>
  <si>
    <t>FP HOLDING</t>
  </si>
  <si>
    <t>2007B04453</t>
  </si>
  <si>
    <t>501728000</t>
  </si>
  <si>
    <t>SODISER</t>
  </si>
  <si>
    <t>2001B00074</t>
  </si>
  <si>
    <t>434972394</t>
  </si>
  <si>
    <t>B2018/000274</t>
  </si>
  <si>
    <t>12850 Onet-le-Château</t>
  </si>
  <si>
    <t>Comptes annuels non saisis - Autres motifs d'illisibilité</t>
  </si>
  <si>
    <t>IDM</t>
  </si>
  <si>
    <t>2004B02225</t>
  </si>
  <si>
    <t>378906739</t>
  </si>
  <si>
    <t>Édition de logiciels système et de réseau</t>
  </si>
  <si>
    <t>21600 Ouges</t>
  </si>
  <si>
    <t>CLARANOVA</t>
  </si>
  <si>
    <t>1994B06076</t>
  </si>
  <si>
    <t>329764625</t>
  </si>
  <si>
    <t>55000 BAR-LE-DUC</t>
  </si>
  <si>
    <t>BARROIDIS</t>
  </si>
  <si>
    <t>B2018/000135</t>
  </si>
  <si>
    <t>2009B00133</t>
  </si>
  <si>
    <t>513254920</t>
  </si>
  <si>
    <t>Construction d'autres bâtiments</t>
  </si>
  <si>
    <t>59299 BOESCHEPE</t>
  </si>
  <si>
    <t>BELCHIM CROP PROTECTION</t>
  </si>
  <si>
    <t>B2018/000289</t>
  </si>
  <si>
    <t>2001B40106</t>
  </si>
  <si>
    <t>432267805</t>
  </si>
  <si>
    <t>51530 Pierry</t>
  </si>
  <si>
    <t>SNG KINGSTON</t>
  </si>
  <si>
    <t>2016B01077</t>
  </si>
  <si>
    <t>824374771</t>
  </si>
  <si>
    <t>Édition de jeux électroniques</t>
  </si>
  <si>
    <t>7322</t>
  </si>
  <si>
    <t>19484</t>
  </si>
  <si>
    <t>B2017/002233</t>
  </si>
  <si>
    <t>DAMARTEX</t>
  </si>
  <si>
    <t>21319</t>
  </si>
  <si>
    <t>2002B20301</t>
  </si>
  <si>
    <t>441378312</t>
  </si>
  <si>
    <t>FIVE</t>
  </si>
  <si>
    <t>2000B01825</t>
  </si>
  <si>
    <t>431236660</t>
  </si>
  <si>
    <t>AFFLELOU</t>
  </si>
  <si>
    <t>2012B08796</t>
  </si>
  <si>
    <t>751095712</t>
  </si>
  <si>
    <t>2987</t>
  </si>
  <si>
    <t>49610 Mûrs Erigné</t>
  </si>
  <si>
    <t>53600 Châtres-la-Forêt</t>
  </si>
  <si>
    <t>8499</t>
  </si>
  <si>
    <t>B2018/000207</t>
  </si>
  <si>
    <t>10100 Romilly-sur-Seine</t>
  </si>
  <si>
    <t>SFBI</t>
  </si>
  <si>
    <t>2011B00574</t>
  </si>
  <si>
    <t>538620014</t>
  </si>
  <si>
    <t>26203</t>
  </si>
  <si>
    <t>PETROSSIAN S.A</t>
  </si>
  <si>
    <t>1992B00969</t>
  </si>
  <si>
    <t>652048281</t>
  </si>
  <si>
    <t>Delpharm Industrie</t>
  </si>
  <si>
    <t>2015B09554</t>
  </si>
  <si>
    <t>815109962</t>
  </si>
  <si>
    <t>78955 CARRIERES SOUS POISSY</t>
  </si>
  <si>
    <t>GEFICAR</t>
  </si>
  <si>
    <t>1996B01070</t>
  </si>
  <si>
    <t>403237167</t>
  </si>
  <si>
    <t>69390 VOURLES</t>
  </si>
  <si>
    <t>EM2C Groupe</t>
  </si>
  <si>
    <t>B2018/001369</t>
  </si>
  <si>
    <t>2001B02154</t>
  </si>
  <si>
    <t>438355398</t>
  </si>
  <si>
    <t>86130 JAUNAY MARIGNY</t>
  </si>
  <si>
    <t>SOCIETE COOPERATIVE AGRICOLE CENTRE OUEST CEREALES</t>
  </si>
  <si>
    <t>2002D00502</t>
  </si>
  <si>
    <t>781504329</t>
  </si>
  <si>
    <t>FINANCIERE WELLS</t>
  </si>
  <si>
    <t>2016B02853</t>
  </si>
  <si>
    <t>818248734</t>
  </si>
  <si>
    <t>MAYENCE FRANCE</t>
  </si>
  <si>
    <t>2012B04585</t>
  </si>
  <si>
    <t>752468918</t>
  </si>
  <si>
    <t>54520 Laxou</t>
  </si>
  <si>
    <t>COOPERATIVE AGRICOLE LORRAINE</t>
  </si>
  <si>
    <t>2002D00553</t>
  </si>
  <si>
    <t>775614837</t>
  </si>
  <si>
    <t>la source des données est issue d'OpenDataSoft sur les bilans consolidés</t>
  </si>
  <si>
    <t>Actif</t>
  </si>
  <si>
    <t>Passif</t>
  </si>
  <si>
    <t>Compte de résultat</t>
  </si>
  <si>
    <t>durée bilan</t>
  </si>
  <si>
    <t xml:space="preserve">Immobilisations : </t>
  </si>
  <si>
    <t>Immobilisations incorporelles nettes</t>
  </si>
  <si>
    <t>Immobilisations corporelles nettes</t>
  </si>
  <si>
    <t>Immobilisations financières nettes</t>
  </si>
  <si>
    <t xml:space="preserve">Actif circulant : </t>
  </si>
  <si>
    <t>Stocks net</t>
  </si>
  <si>
    <t>Actifs d'exploitation</t>
  </si>
  <si>
    <t>Trésorerie active</t>
  </si>
  <si>
    <t xml:space="preserve">Capitaux permanents : </t>
  </si>
  <si>
    <t>Ressources et quasi fonds propres</t>
  </si>
  <si>
    <t>Ressources d'emprunt</t>
  </si>
  <si>
    <t xml:space="preserve">Dettes : </t>
  </si>
  <si>
    <t>Dettes d'exploitation et divers</t>
  </si>
  <si>
    <t>Trésorerie Passive</t>
  </si>
  <si>
    <t>Bilan consolidé simplifié</t>
  </si>
  <si>
    <t>Ecarts d'acquisition et mise en équivalence</t>
  </si>
  <si>
    <t>Liste des agrégats disponibles</t>
  </si>
  <si>
    <t>Somme</t>
  </si>
  <si>
    <t>Moyenne</t>
  </si>
  <si>
    <t>Maximum (Q4)</t>
  </si>
  <si>
    <t>Quartile supérieur (Q3)</t>
  </si>
  <si>
    <t>Médiane (Q2)</t>
  </si>
  <si>
    <t>Quartile inférieur (Q1)</t>
  </si>
  <si>
    <t>Minimum (Q0)</t>
  </si>
  <si>
    <t>Moyenne Interquartile Q1/Q3</t>
  </si>
  <si>
    <t>Bilan consolidé détaillé</t>
  </si>
  <si>
    <t>Soldes Intermédiaires de gestion</t>
  </si>
  <si>
    <t>Chiffres d'affaires</t>
  </si>
  <si>
    <t>Marge commerciale</t>
  </si>
  <si>
    <t>Valeur ajoutée</t>
  </si>
  <si>
    <t>Excédent Brut d'Exploitation</t>
  </si>
  <si>
    <t>Résultat net comptable</t>
  </si>
  <si>
    <t>Autres produits d'exploitation</t>
  </si>
  <si>
    <t>Compte de résultats</t>
  </si>
  <si>
    <t>Consolidation</t>
  </si>
  <si>
    <t>Accès direct</t>
  </si>
  <si>
    <t>https://data.opendatasoft.com/explore/dataset/comptes-consolides%40public/table/</t>
  </si>
  <si>
    <t>Pour mettre à jour la liste, il suffit de recopier les valeurs d'OpenDataSoft et les copier dans l'onglet LISTE en cellule C2</t>
  </si>
  <si>
    <t>(les 2 premiers colonnes servent à la navigation)</t>
  </si>
  <si>
    <t>1 -Source et mise à jour des données</t>
  </si>
  <si>
    <t>3 -Trier liste</t>
  </si>
  <si>
    <t>4 - Sauvegarder un bilan consolidé</t>
  </si>
  <si>
    <t>V1.3</t>
  </si>
  <si>
    <t>Adapation du nouveau format OpdenDataSoft et ajout agrégats</t>
  </si>
  <si>
    <t>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</si>
</sst>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0"/>
    <numFmt numFmtId="165" formatCode="#\ ###\ ###\ ##0"/>
    <numFmt numFmtId="166" formatCode="yyyy\-mm\-dd;@"/>
    <numFmt numFmtId="167" formatCode="0.0%"/>
  </numFmts>
  <fonts count="31" x14ac:knownFonts="1"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10"/>
      <color theme="10"/>
      <name val="Calibri"/>
      <family val="2"/>
    </font>
    <font>
      <sz val="10"/>
      <color theme="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i/>
      <sz val="10"/>
      <color theme="0"/>
      <name val="Calibri"/>
      <family val="2"/>
      <scheme val="minor"/>
    </font>
    <font>
      <b/>
      <sz val="12"/>
      <name val="Arial"/>
      <family val="2"/>
    </font>
    <font>
      <sz val="9"/>
      <color theme="0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0" tint="-0.499984740745262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mediumGray">
        <fgColor indexed="57"/>
        <bgColor auto="1"/>
      </patternFill>
    </fill>
    <fill>
      <patternFill patternType="mediumGray">
        <fgColor indexed="26"/>
        <bgColor auto="1"/>
      </patternFill>
    </fill>
    <fill>
      <patternFill patternType="solid">
        <fgColor indexed="9"/>
      </patternFill>
    </fill>
    <fill>
      <patternFill patternType="solid">
        <fgColor indexed="51"/>
      </patternFill>
    </fill>
    <fill>
      <patternFill patternType="mediumGray">
        <fgColor indexed="26"/>
        <bgColor theme="2" tint="-9.9978637043366805E-2"/>
      </patternFill>
    </fill>
    <fill>
      <patternFill patternType="solid">
        <fgColor theme="2" tint="-9.9978637043366805E-2"/>
        <bgColor indexed="64"/>
      </patternFill>
    </fill>
    <fill>
      <patternFill patternType="mediumGray">
        <fgColor indexed="57"/>
        <bgColor theme="2" tint="-9.9978637043366805E-2"/>
      </patternFill>
    </fill>
    <fill>
      <patternFill patternType="mediumGray">
        <fgColor indexed="26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3" tint="-0.499984740745262"/>
        <bgColor indexed="64"/>
      </patternFill>
    </fill>
  </fills>
  <borders count="22">
    <border>
      <left/>
      <right/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rgb="FF603C32"/>
      </bottom>
      <diagonal/>
    </border>
    <border>
      <left/>
      <right/>
      <top style="medium">
        <color theme="0" tint="-0.14996795556505021"/>
      </top>
      <bottom style="medium">
        <color rgb="FF603C32"/>
      </bottom>
      <diagonal/>
    </border>
    <border>
      <left/>
      <right style="medium">
        <color theme="5" tint="-0.499984740745262"/>
      </right>
      <top style="medium">
        <color theme="0" tint="-0.14996795556505021"/>
      </top>
      <bottom style="medium">
        <color rgb="FF603C32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0" tint="-0.14996795556505021"/>
      </right>
      <top/>
      <bottom/>
      <diagonal/>
    </border>
    <border>
      <left/>
      <right/>
      <top style="medium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medium">
        <color indexed="22"/>
      </bottom>
      <diagonal/>
    </border>
    <border>
      <left/>
      <right style="thin">
        <color indexed="22"/>
      </right>
      <top/>
      <bottom style="medium">
        <color indexed="22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22"/>
      </right>
      <top style="thin">
        <color indexed="64"/>
      </top>
      <bottom style="thin">
        <color theme="0" tint="-0.14996795556505021"/>
      </bottom>
      <diagonal/>
    </border>
    <border>
      <left style="medium">
        <color theme="2" tint="-9.9948118533890809E-2"/>
      </left>
      <right/>
      <top style="medium">
        <color theme="2" tint="-9.9948118533890809E-2"/>
      </top>
      <bottom style="thin">
        <color indexed="64"/>
      </bottom>
      <diagonal/>
    </border>
    <border>
      <left/>
      <right/>
      <top style="medium">
        <color theme="2" tint="-9.9948118533890809E-2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29" fillId="0" borderId="0" applyFont="0" applyFill="0" applyBorder="0" applyAlignment="0" applyProtection="0"/>
  </cellStyleXfs>
  <cellXfs count="212">
    <xf numFmtId="0" fontId="0" fillId="0" borderId="0" xfId="0"/>
    <xf numFmtId="0" fontId="3" fillId="2" borderId="0" xfId="0" applyFont="1" applyFill="1"/>
    <xf numFmtId="0" fontId="5" fillId="2" borderId="0" xfId="0" applyFont="1" applyFill="1"/>
    <xf numFmtId="0" fontId="0" fillId="2" borderId="0" xfId="0" applyFill="1"/>
    <xf numFmtId="0" fontId="0" fillId="0" borderId="0" xfId="0"/>
    <xf numFmtId="0" fontId="0" fillId="2" borderId="0" xfId="0" applyFill="1"/>
    <xf numFmtId="0" fontId="0" fillId="0" borderId="0" xfId="0"/>
    <xf numFmtId="0" fontId="7" fillId="2" borderId="0" xfId="0" applyFont="1" applyFill="1"/>
    <xf numFmtId="0" fontId="7" fillId="0" borderId="0" xfId="0" applyFont="1" applyFill="1"/>
    <xf numFmtId="0" fontId="2" fillId="4" borderId="0" xfId="0" applyFont="1" applyFill="1" applyAlignment="1">
      <alignment horizontal="left"/>
    </xf>
    <xf numFmtId="0" fontId="2" fillId="4" borderId="0" xfId="0" applyFont="1" applyFill="1"/>
    <xf numFmtId="14" fontId="2" fillId="4" borderId="0" xfId="0" applyNumberFormat="1" applyFont="1" applyFill="1" applyAlignment="1">
      <alignment horizontal="left"/>
    </xf>
    <xf numFmtId="0" fontId="2" fillId="4" borderId="4" xfId="0" applyFont="1" applyFill="1" applyBorder="1" applyAlignment="1">
      <alignment horizontal="left"/>
    </xf>
    <xf numFmtId="0" fontId="2" fillId="4" borderId="4" xfId="0" applyFont="1" applyFill="1" applyBorder="1"/>
    <xf numFmtId="0" fontId="2" fillId="4" borderId="0" xfId="0" applyFont="1" applyFill="1" applyAlignment="1">
      <alignment horizontal="left" indent="1"/>
    </xf>
    <xf numFmtId="0" fontId="2" fillId="4" borderId="4" xfId="0" applyFont="1" applyFill="1" applyBorder="1" applyAlignment="1">
      <alignment horizontal="left" indent="1"/>
    </xf>
    <xf numFmtId="0" fontId="3" fillId="2" borderId="0" xfId="0" applyFont="1" applyFill="1" applyAlignment="1">
      <alignment horizontal="left" indent="1"/>
    </xf>
    <xf numFmtId="0" fontId="3" fillId="2" borderId="0" xfId="0" applyFont="1" applyFill="1" applyAlignment="1">
      <alignment horizontal="left" indent="2"/>
    </xf>
    <xf numFmtId="0" fontId="4" fillId="2" borderId="0" xfId="0" applyFont="1" applyFill="1" applyAlignment="1">
      <alignment horizontal="left" indent="2"/>
    </xf>
    <xf numFmtId="0" fontId="3" fillId="2" borderId="0" xfId="0" applyFont="1" applyFill="1" applyAlignment="1">
      <alignment horizontal="left" indent="3"/>
    </xf>
    <xf numFmtId="0" fontId="0" fillId="2" borderId="5" xfId="0" applyFill="1" applyBorder="1"/>
    <xf numFmtId="0" fontId="0" fillId="0" borderId="0" xfId="0"/>
    <xf numFmtId="0" fontId="0" fillId="2" borderId="0" xfId="0" applyFont="1" applyFill="1"/>
    <xf numFmtId="0" fontId="0" fillId="0" borderId="0" xfId="0" applyFont="1"/>
    <xf numFmtId="0" fontId="0" fillId="2" borderId="0" xfId="0" applyFill="1" applyAlignment="1">
      <alignment horizontal="right"/>
    </xf>
    <xf numFmtId="14" fontId="0" fillId="2" borderId="0" xfId="0" applyNumberFormat="1" applyFill="1"/>
    <xf numFmtId="0" fontId="7" fillId="3" borderId="4" xfId="0" applyFont="1" applyFill="1" applyBorder="1"/>
    <xf numFmtId="0" fontId="8" fillId="2" borderId="0" xfId="0" applyFont="1" applyFill="1"/>
    <xf numFmtId="0" fontId="2" fillId="7" borderId="0" xfId="0" applyFont="1" applyFill="1" applyAlignment="1">
      <alignment horizontal="left" indent="1"/>
    </xf>
    <xf numFmtId="0" fontId="2" fillId="7" borderId="4" xfId="0" applyFont="1" applyFill="1" applyBorder="1" applyAlignment="1">
      <alignment horizontal="left" indent="1"/>
    </xf>
    <xf numFmtId="0" fontId="8" fillId="0" borderId="0" xfId="0" applyFont="1"/>
    <xf numFmtId="0" fontId="9" fillId="2" borderId="0" xfId="0" applyFont="1" applyFill="1"/>
    <xf numFmtId="0" fontId="10" fillId="2" borderId="0" xfId="0" applyFont="1" applyFill="1" applyAlignment="1">
      <alignment horizontal="left" indent="3"/>
    </xf>
    <xf numFmtId="0" fontId="9" fillId="2" borderId="5" xfId="0" applyFont="1" applyFill="1" applyBorder="1"/>
    <xf numFmtId="0" fontId="2" fillId="7" borderId="1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/>
    </xf>
    <xf numFmtId="1" fontId="11" fillId="3" borderId="4" xfId="0" applyNumberFormat="1" applyFont="1" applyFill="1" applyBorder="1" applyAlignment="1" applyProtection="1">
      <alignment horizontal="right"/>
      <protection locked="0"/>
    </xf>
    <xf numFmtId="0" fontId="0" fillId="8" borderId="6" xfId="0" applyFont="1" applyFill="1" applyBorder="1"/>
    <xf numFmtId="0" fontId="0" fillId="10" borderId="0" xfId="0" applyFont="1" applyFill="1"/>
    <xf numFmtId="0" fontId="0" fillId="10" borderId="7" xfId="0" applyFont="1" applyFill="1" applyBorder="1" applyAlignment="1">
      <alignment horizontal="left"/>
    </xf>
    <xf numFmtId="0" fontId="0" fillId="10" borderId="7" xfId="0" applyFont="1" applyFill="1" applyBorder="1"/>
    <xf numFmtId="0" fontId="0" fillId="10" borderId="7" xfId="0" applyFont="1" applyFill="1" applyBorder="1" applyAlignment="1">
      <alignment horizontal="right"/>
    </xf>
    <xf numFmtId="0" fontId="0" fillId="10" borderId="0" xfId="0" applyFont="1" applyFill="1" applyBorder="1" applyAlignment="1">
      <alignment horizontal="left"/>
    </xf>
    <xf numFmtId="0" fontId="0" fillId="10" borderId="0" xfId="0" applyFont="1" applyFill="1" applyBorder="1"/>
    <xf numFmtId="0" fontId="0" fillId="10" borderId="0" xfId="0" applyFont="1" applyFill="1" applyBorder="1" applyAlignment="1">
      <alignment horizontal="right"/>
    </xf>
    <xf numFmtId="0" fontId="0" fillId="11" borderId="6" xfId="0" applyFont="1" applyFill="1" applyBorder="1"/>
    <xf numFmtId="0" fontId="0" fillId="10" borderId="9" xfId="0" applyFont="1" applyFill="1" applyBorder="1" applyAlignment="1">
      <alignment horizontal="left"/>
    </xf>
    <xf numFmtId="0" fontId="0" fillId="10" borderId="10" xfId="0" applyFont="1" applyFill="1" applyBorder="1" applyAlignment="1">
      <alignment horizontal="right"/>
    </xf>
    <xf numFmtId="0" fontId="12" fillId="10" borderId="7" xfId="0" applyFont="1" applyFill="1" applyBorder="1" applyAlignment="1">
      <alignment horizontal="left"/>
    </xf>
    <xf numFmtId="0" fontId="13" fillId="2" borderId="0" xfId="0" applyFont="1" applyFill="1" applyAlignment="1">
      <alignment horizontal="right"/>
    </xf>
    <xf numFmtId="164" fontId="0" fillId="2" borderId="0" xfId="0" applyNumberFormat="1" applyFont="1" applyFill="1" applyBorder="1"/>
    <xf numFmtId="0" fontId="13" fillId="2" borderId="0" xfId="0" applyFont="1" applyFill="1" applyBorder="1" applyAlignment="1">
      <alignment horizontal="right"/>
    </xf>
    <xf numFmtId="0" fontId="3" fillId="2" borderId="0" xfId="0" applyFont="1" applyFill="1" applyBorder="1"/>
    <xf numFmtId="0" fontId="7" fillId="2" borderId="0" xfId="0" applyFont="1" applyFill="1" applyAlignment="1">
      <alignment horizontal="right"/>
    </xf>
    <xf numFmtId="0" fontId="1" fillId="7" borderId="2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14" fontId="0" fillId="12" borderId="8" xfId="0" applyNumberFormat="1" applyFont="1" applyFill="1" applyBorder="1" applyAlignment="1">
      <alignment horizontal="right"/>
    </xf>
    <xf numFmtId="164" fontId="0" fillId="10" borderId="8" xfId="0" applyNumberFormat="1" applyFont="1" applyFill="1" applyBorder="1" applyAlignment="1">
      <alignment horizontal="right"/>
    </xf>
    <xf numFmtId="0" fontId="0" fillId="11" borderId="6" xfId="0" applyFont="1" applyFill="1" applyBorder="1" applyAlignment="1">
      <alignment horizontal="right"/>
    </xf>
    <xf numFmtId="0" fontId="0" fillId="13" borderId="6" xfId="0" applyFont="1" applyFill="1" applyBorder="1"/>
    <xf numFmtId="0" fontId="0" fillId="13" borderId="6" xfId="0" applyFont="1" applyFill="1" applyBorder="1" applyAlignment="1">
      <alignment horizontal="right"/>
    </xf>
    <xf numFmtId="0" fontId="0" fillId="14" borderId="4" xfId="0" applyFont="1" applyFill="1" applyBorder="1"/>
    <xf numFmtId="0" fontId="14" fillId="14" borderId="4" xfId="0" applyFont="1" applyFill="1" applyBorder="1" applyAlignment="1">
      <alignment horizontal="right"/>
    </xf>
    <xf numFmtId="0" fontId="0" fillId="14" borderId="6" xfId="0" applyFont="1" applyFill="1" applyBorder="1"/>
    <xf numFmtId="0" fontId="14" fillId="10" borderId="7" xfId="0" applyFont="1" applyFill="1" applyBorder="1" applyAlignment="1">
      <alignment horizontal="left"/>
    </xf>
    <xf numFmtId="3" fontId="7" fillId="2" borderId="0" xfId="0" applyNumberFormat="1" applyFont="1" applyFill="1" applyAlignment="1">
      <alignment horizontal="right"/>
    </xf>
    <xf numFmtId="3" fontId="1" fillId="7" borderId="3" xfId="0" applyNumberFormat="1" applyFont="1" applyFill="1" applyBorder="1" applyAlignment="1">
      <alignment horizontal="right"/>
    </xf>
    <xf numFmtId="3" fontId="13" fillId="2" borderId="0" xfId="0" applyNumberFormat="1" applyFont="1" applyFill="1" applyBorder="1" applyAlignment="1">
      <alignment horizontal="right"/>
    </xf>
    <xf numFmtId="3" fontId="14" fillId="14" borderId="4" xfId="0" applyNumberFormat="1" applyFont="1" applyFill="1" applyBorder="1" applyAlignment="1">
      <alignment horizontal="right"/>
    </xf>
    <xf numFmtId="3" fontId="0" fillId="12" borderId="8" xfId="0" applyNumberFormat="1" applyFont="1" applyFill="1" applyBorder="1" applyAlignment="1">
      <alignment horizontal="right"/>
    </xf>
    <xf numFmtId="3" fontId="0" fillId="2" borderId="0" xfId="0" applyNumberFormat="1" applyFont="1" applyFill="1" applyAlignment="1">
      <alignment horizontal="right"/>
    </xf>
    <xf numFmtId="3" fontId="0" fillId="10" borderId="8" xfId="0" applyNumberFormat="1" applyFont="1" applyFill="1" applyBorder="1" applyAlignment="1">
      <alignment horizontal="right"/>
    </xf>
    <xf numFmtId="3" fontId="0" fillId="13" borderId="6" xfId="0" applyNumberFormat="1" applyFont="1" applyFill="1" applyBorder="1" applyAlignment="1">
      <alignment horizontal="right"/>
    </xf>
    <xf numFmtId="3" fontId="0" fillId="11" borderId="6" xfId="0" applyNumberFormat="1" applyFont="1" applyFill="1" applyBorder="1" applyAlignment="1">
      <alignment horizontal="right"/>
    </xf>
    <xf numFmtId="3" fontId="0" fillId="10" borderId="0" xfId="0" applyNumberFormat="1" applyFont="1" applyFill="1" applyBorder="1" applyAlignment="1">
      <alignment horizontal="right"/>
    </xf>
    <xf numFmtId="0" fontId="12" fillId="10" borderId="7" xfId="0" applyFont="1" applyFill="1" applyBorder="1" applyAlignment="1">
      <alignment horizontal="left" indent="1"/>
    </xf>
    <xf numFmtId="0" fontId="12" fillId="10" borderId="9" xfId="0" applyFont="1" applyFill="1" applyBorder="1" applyAlignment="1">
      <alignment horizontal="left" indent="1"/>
    </xf>
    <xf numFmtId="0" fontId="14" fillId="10" borderId="7" xfId="0" applyFont="1" applyFill="1" applyBorder="1"/>
    <xf numFmtId="0" fontId="14" fillId="10" borderId="7" xfId="0" applyFont="1" applyFill="1" applyBorder="1" applyAlignment="1">
      <alignment horizontal="right"/>
    </xf>
    <xf numFmtId="164" fontId="14" fillId="10" borderId="8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left"/>
    </xf>
    <xf numFmtId="164" fontId="7" fillId="2" borderId="8" xfId="0" applyNumberFormat="1" applyFont="1" applyFill="1" applyBorder="1"/>
    <xf numFmtId="0" fontId="7" fillId="2" borderId="0" xfId="0" applyFont="1" applyFill="1" applyBorder="1"/>
    <xf numFmtId="0" fontId="1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/>
    <xf numFmtId="1" fontId="7" fillId="2" borderId="0" xfId="0" applyNumberFormat="1" applyFont="1" applyFill="1" applyBorder="1"/>
    <xf numFmtId="3" fontId="14" fillId="2" borderId="0" xfId="0" applyNumberFormat="1" applyFont="1" applyFill="1" applyAlignment="1">
      <alignment horizontal="right"/>
    </xf>
    <xf numFmtId="14" fontId="3" fillId="2" borderId="0" xfId="0" applyNumberFormat="1" applyFont="1" applyFill="1" applyBorder="1" applyAlignment="1">
      <alignment horizontal="left"/>
    </xf>
    <xf numFmtId="164" fontId="0" fillId="2" borderId="0" xfId="0" applyNumberFormat="1" applyFont="1" applyFill="1" applyBorder="1" applyAlignment="1">
      <alignment horizontal="left"/>
    </xf>
    <xf numFmtId="0" fontId="3" fillId="10" borderId="7" xfId="0" applyFont="1" applyFill="1" applyBorder="1" applyAlignment="1">
      <alignment horizontal="right"/>
    </xf>
    <xf numFmtId="0" fontId="3" fillId="10" borderId="0" xfId="0" applyFont="1" applyFill="1" applyAlignment="1">
      <alignment horizontal="right"/>
    </xf>
    <xf numFmtId="0" fontId="0" fillId="2" borderId="0" xfId="0" applyFont="1" applyFill="1" applyAlignment="1">
      <alignment horizontal="right"/>
    </xf>
    <xf numFmtId="0" fontId="0" fillId="0" borderId="0" xfId="0" applyFont="1" applyFill="1"/>
    <xf numFmtId="3" fontId="0" fillId="2" borderId="0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15" fillId="2" borderId="0" xfId="1" applyFont="1" applyFill="1" applyBorder="1" applyAlignment="1" applyProtection="1">
      <alignment horizontal="right"/>
    </xf>
    <xf numFmtId="3" fontId="0" fillId="2" borderId="0" xfId="0" applyNumberFormat="1" applyFont="1" applyFill="1"/>
    <xf numFmtId="0" fontId="0" fillId="14" borderId="4" xfId="0" applyFont="1" applyFill="1" applyBorder="1" applyAlignment="1">
      <alignment horizontal="right"/>
    </xf>
    <xf numFmtId="0" fontId="0" fillId="12" borderId="0" xfId="0" applyFont="1" applyFill="1"/>
    <xf numFmtId="0" fontId="0" fillId="12" borderId="0" xfId="0" applyFont="1" applyFill="1" applyAlignment="1">
      <alignment horizontal="right"/>
    </xf>
    <xf numFmtId="0" fontId="16" fillId="12" borderId="0" xfId="0" applyFont="1" applyFill="1"/>
    <xf numFmtId="0" fontId="0" fillId="14" borderId="6" xfId="0" applyFont="1" applyFill="1" applyBorder="1" applyAlignment="1">
      <alignment horizontal="right"/>
    </xf>
    <xf numFmtId="3" fontId="0" fillId="14" borderId="6" xfId="0" applyNumberFormat="1" applyFont="1" applyFill="1" applyBorder="1" applyAlignment="1">
      <alignment horizontal="right"/>
    </xf>
    <xf numFmtId="0" fontId="0" fillId="10" borderId="0" xfId="0" applyFont="1" applyFill="1" applyAlignment="1">
      <alignment horizontal="right"/>
    </xf>
    <xf numFmtId="0" fontId="17" fillId="10" borderId="0" xfId="0" applyFont="1" applyFill="1" applyAlignment="1">
      <alignment vertical="center"/>
    </xf>
    <xf numFmtId="0" fontId="18" fillId="10" borderId="0" xfId="0" applyFont="1" applyFill="1"/>
    <xf numFmtId="0" fontId="18" fillId="10" borderId="0" xfId="0" applyFont="1" applyFill="1" applyAlignment="1">
      <alignment horizontal="right"/>
    </xf>
    <xf numFmtId="0" fontId="19" fillId="10" borderId="0" xfId="0" applyFont="1" applyFill="1" applyAlignment="1">
      <alignment horizontal="right"/>
    </xf>
    <xf numFmtId="0" fontId="9" fillId="10" borderId="9" xfId="0" applyFont="1" applyFill="1" applyBorder="1" applyAlignment="1">
      <alignment horizontal="left"/>
    </xf>
    <xf numFmtId="0" fontId="10" fillId="10" borderId="10" xfId="0" applyFont="1" applyFill="1" applyBorder="1" applyAlignment="1">
      <alignment horizontal="right"/>
    </xf>
    <xf numFmtId="0" fontId="9" fillId="10" borderId="0" xfId="0" applyFont="1" applyFill="1"/>
    <xf numFmtId="0" fontId="18" fillId="9" borderId="0" xfId="0" applyFont="1" applyFill="1"/>
    <xf numFmtId="0" fontId="20" fillId="9" borderId="0" xfId="0" applyFont="1" applyFill="1"/>
    <xf numFmtId="0" fontId="18" fillId="9" borderId="0" xfId="0" applyFont="1" applyFill="1" applyAlignment="1">
      <alignment horizontal="right"/>
    </xf>
    <xf numFmtId="164" fontId="18" fillId="15" borderId="0" xfId="0" applyNumberFormat="1" applyFont="1" applyFill="1" applyAlignment="1">
      <alignment horizontal="right"/>
    </xf>
    <xf numFmtId="3" fontId="18" fillId="15" borderId="0" xfId="0" applyNumberFormat="1" applyFont="1" applyFill="1" applyAlignment="1">
      <alignment horizontal="right"/>
    </xf>
    <xf numFmtId="3" fontId="20" fillId="15" borderId="0" xfId="0" applyNumberFormat="1" applyFont="1" applyFill="1" applyAlignment="1">
      <alignment horizontal="right"/>
    </xf>
    <xf numFmtId="0" fontId="0" fillId="0" borderId="0" xfId="0" applyFont="1" applyAlignment="1">
      <alignment horizontal="right"/>
    </xf>
    <xf numFmtId="0" fontId="18" fillId="15" borderId="0" xfId="0" applyFont="1" applyFill="1"/>
    <xf numFmtId="0" fontId="20" fillId="15" borderId="0" xfId="0" applyFont="1" applyFill="1"/>
    <xf numFmtId="0" fontId="18" fillId="15" borderId="0" xfId="0" applyFont="1" applyFill="1" applyAlignment="1">
      <alignment horizontal="right"/>
    </xf>
    <xf numFmtId="0" fontId="18" fillId="12" borderId="0" xfId="0" applyFont="1" applyFill="1"/>
    <xf numFmtId="0" fontId="20" fillId="12" borderId="0" xfId="0" applyFont="1" applyFill="1"/>
    <xf numFmtId="0" fontId="18" fillId="12" borderId="0" xfId="0" applyFont="1" applyFill="1" applyAlignment="1">
      <alignment horizontal="right"/>
    </xf>
    <xf numFmtId="164" fontId="18" fillId="12" borderId="0" xfId="0" applyNumberFormat="1" applyFont="1" applyFill="1" applyAlignment="1">
      <alignment horizontal="right"/>
    </xf>
    <xf numFmtId="0" fontId="9" fillId="0" borderId="0" xfId="0" applyFont="1" applyBorder="1"/>
    <xf numFmtId="3" fontId="18" fillId="9" borderId="0" xfId="0" applyNumberFormat="1" applyFont="1" applyFill="1" applyAlignment="1">
      <alignment horizontal="right"/>
    </xf>
    <xf numFmtId="0" fontId="9" fillId="10" borderId="9" xfId="0" applyFont="1" applyFill="1" applyBorder="1"/>
    <xf numFmtId="0" fontId="9" fillId="10" borderId="7" xfId="0" applyFont="1" applyFill="1" applyBorder="1"/>
    <xf numFmtId="0" fontId="9" fillId="10" borderId="10" xfId="0" applyFont="1" applyFill="1" applyBorder="1" applyAlignment="1">
      <alignment horizontal="right"/>
    </xf>
    <xf numFmtId="164" fontId="20" fillId="9" borderId="0" xfId="0" applyNumberFormat="1" applyFont="1" applyFill="1" applyAlignment="1">
      <alignment horizontal="right"/>
    </xf>
    <xf numFmtId="0" fontId="9" fillId="10" borderId="11" xfId="0" applyFont="1" applyFill="1" applyBorder="1"/>
    <xf numFmtId="0" fontId="9" fillId="10" borderId="12" xfId="0" applyFont="1" applyFill="1" applyBorder="1" applyAlignment="1">
      <alignment horizontal="right"/>
    </xf>
    <xf numFmtId="3" fontId="0" fillId="0" borderId="0" xfId="0" applyNumberFormat="1" applyFont="1" applyAlignment="1">
      <alignment horizontal="right"/>
    </xf>
    <xf numFmtId="164" fontId="18" fillId="9" borderId="0" xfId="0" applyNumberFormat="1" applyFont="1" applyFill="1" applyAlignment="1">
      <alignment horizontal="right"/>
    </xf>
    <xf numFmtId="0" fontId="21" fillId="11" borderId="6" xfId="0" applyFont="1" applyFill="1" applyBorder="1"/>
    <xf numFmtId="0" fontId="0" fillId="8" borderId="6" xfId="0" applyFont="1" applyFill="1" applyBorder="1" applyAlignment="1">
      <alignment horizontal="right"/>
    </xf>
    <xf numFmtId="3" fontId="0" fillId="8" borderId="6" xfId="0" applyNumberFormat="1" applyFont="1" applyFill="1" applyBorder="1" applyAlignment="1">
      <alignment horizontal="right"/>
    </xf>
    <xf numFmtId="0" fontId="18" fillId="10" borderId="7" xfId="0" applyFont="1" applyFill="1" applyBorder="1" applyAlignment="1">
      <alignment horizontal="left"/>
    </xf>
    <xf numFmtId="0" fontId="18" fillId="10" borderId="7" xfId="0" applyFont="1" applyFill="1" applyBorder="1"/>
    <xf numFmtId="0" fontId="18" fillId="10" borderId="7" xfId="0" applyFont="1" applyFill="1" applyBorder="1" applyAlignment="1">
      <alignment horizontal="right"/>
    </xf>
    <xf numFmtId="3" fontId="18" fillId="10" borderId="0" xfId="0" applyNumberFormat="1" applyFont="1" applyFill="1" applyAlignment="1">
      <alignment horizontal="right"/>
    </xf>
    <xf numFmtId="3" fontId="0" fillId="10" borderId="0" xfId="0" applyNumberFormat="1" applyFont="1" applyFill="1" applyAlignment="1">
      <alignment horizontal="right"/>
    </xf>
    <xf numFmtId="0" fontId="18" fillId="10" borderId="0" xfId="0" applyFont="1" applyFill="1" applyBorder="1" applyAlignment="1">
      <alignment horizontal="left"/>
    </xf>
    <xf numFmtId="165" fontId="18" fillId="10" borderId="0" xfId="0" applyNumberFormat="1" applyFont="1" applyFill="1"/>
    <xf numFmtId="165" fontId="18" fillId="10" borderId="0" xfId="0" applyNumberFormat="1" applyFont="1" applyFill="1" applyAlignment="1">
      <alignment horizontal="right"/>
    </xf>
    <xf numFmtId="0" fontId="10" fillId="10" borderId="0" xfId="0" applyFont="1" applyFill="1" applyAlignment="1">
      <alignment horizontal="right"/>
    </xf>
    <xf numFmtId="0" fontId="3" fillId="10" borderId="10" xfId="0" applyFont="1" applyFill="1" applyBorder="1" applyAlignment="1">
      <alignment horizontal="right"/>
    </xf>
    <xf numFmtId="0" fontId="3" fillId="10" borderId="0" xfId="0" applyFont="1" applyFill="1" applyBorder="1" applyAlignment="1">
      <alignment horizontal="right"/>
    </xf>
    <xf numFmtId="164" fontId="0" fillId="10" borderId="0" xfId="0" applyNumberFormat="1" applyFont="1" applyFill="1" applyBorder="1" applyAlignment="1">
      <alignment horizontal="right"/>
    </xf>
    <xf numFmtId="164" fontId="0" fillId="12" borderId="0" xfId="0" applyNumberFormat="1" applyFont="1" applyFill="1"/>
    <xf numFmtId="164" fontId="16" fillId="12" borderId="0" xfId="0" applyNumberFormat="1" applyFont="1" applyFill="1"/>
    <xf numFmtId="1" fontId="1" fillId="3" borderId="4" xfId="0" applyNumberFormat="1" applyFont="1" applyFill="1" applyBorder="1" applyAlignment="1" applyProtection="1">
      <alignment horizontal="right"/>
      <protection locked="0"/>
    </xf>
    <xf numFmtId="16" fontId="0" fillId="0" borderId="0" xfId="0" applyNumberFormat="1"/>
    <xf numFmtId="0" fontId="22" fillId="0" borderId="0" xfId="0" applyNumberFormat="1" applyFont="1" applyFill="1" applyBorder="1" applyAlignment="1" applyProtection="1"/>
    <xf numFmtId="14" fontId="0" fillId="12" borderId="15" xfId="0" applyNumberFormat="1" applyFont="1" applyFill="1" applyBorder="1" applyAlignment="1">
      <alignment horizontal="center"/>
    </xf>
    <xf numFmtId="14" fontId="0" fillId="12" borderId="16" xfId="0" applyNumberFormat="1" applyFont="1" applyFill="1" applyBorder="1" applyAlignment="1">
      <alignment horizontal="center"/>
    </xf>
    <xf numFmtId="164" fontId="0" fillId="12" borderId="13" xfId="0" applyNumberFormat="1" applyFont="1" applyFill="1" applyBorder="1" applyAlignment="1">
      <alignment horizontal="center"/>
    </xf>
    <xf numFmtId="164" fontId="0" fillId="12" borderId="14" xfId="0" applyNumberFormat="1" applyFont="1" applyFill="1" applyBorder="1" applyAlignment="1">
      <alignment horizontal="center"/>
    </xf>
    <xf numFmtId="14" fontId="0" fillId="12" borderId="15" xfId="0" applyNumberFormat="1" applyFont="1" applyFill="1" applyBorder="1" applyAlignment="1">
      <alignment horizontal="center"/>
    </xf>
    <xf numFmtId="14" fontId="0" fillId="12" borderId="16" xfId="0" applyNumberFormat="1" applyFont="1" applyFill="1" applyBorder="1" applyAlignment="1">
      <alignment horizontal="center"/>
    </xf>
    <xf numFmtId="164" fontId="0" fillId="12" borderId="13" xfId="0" applyNumberFormat="1" applyFont="1" applyFill="1" applyBorder="1" applyAlignment="1">
      <alignment horizontal="center"/>
    </xf>
    <xf numFmtId="164" fontId="0" fillId="12" borderId="14" xfId="0" applyNumberFormat="1" applyFont="1" applyFill="1" applyBorder="1" applyAlignment="1">
      <alignment horizontal="center"/>
    </xf>
    <xf numFmtId="0" fontId="23" fillId="2" borderId="0" xfId="0" applyFont="1" applyFill="1"/>
    <xf numFmtId="0" fontId="0" fillId="5" borderId="0" xfId="0" applyFill="1"/>
    <xf numFmtId="0" fontId="0" fillId="16" borderId="0" xfId="0" applyFill="1"/>
    <xf numFmtId="0" fontId="0" fillId="16" borderId="0" xfId="0" applyNumberFormat="1" applyFill="1"/>
    <xf numFmtId="0" fontId="24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49" fontId="0" fillId="16" borderId="0" xfId="0" applyNumberFormat="1" applyFill="1"/>
    <xf numFmtId="0" fontId="25" fillId="2" borderId="0" xfId="0" applyFont="1" applyFill="1" applyBorder="1" applyAlignment="1">
      <alignment horizontal="right"/>
    </xf>
    <xf numFmtId="0" fontId="4" fillId="4" borderId="17" xfId="0" applyFont="1" applyFill="1" applyBorder="1" applyAlignment="1">
      <alignment horizontal="right"/>
    </xf>
    <xf numFmtId="0" fontId="26" fillId="17" borderId="17" xfId="0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3" fillId="18" borderId="0" xfId="0" applyFont="1" applyFill="1" applyAlignment="1">
      <alignment horizontal="left"/>
    </xf>
    <xf numFmtId="3" fontId="27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/>
    </xf>
    <xf numFmtId="3" fontId="3" fillId="18" borderId="0" xfId="0" applyNumberFormat="1" applyFont="1" applyFill="1" applyAlignment="1">
      <alignment horizontal="right"/>
    </xf>
    <xf numFmtId="3" fontId="25" fillId="2" borderId="0" xfId="0" applyNumberFormat="1" applyFont="1" applyFill="1" applyAlignment="1">
      <alignment horizontal="right"/>
    </xf>
    <xf numFmtId="0" fontId="3" fillId="18" borderId="0" xfId="0" applyFont="1" applyFill="1" applyAlignment="1">
      <alignment horizontal="right"/>
    </xf>
    <xf numFmtId="14" fontId="4" fillId="4" borderId="18" xfId="0" applyNumberFormat="1" applyFont="1" applyFill="1" applyBorder="1" applyAlignment="1">
      <alignment horizontal="right"/>
    </xf>
    <xf numFmtId="164" fontId="26" fillId="17" borderId="18" xfId="0" applyNumberFormat="1" applyFont="1" applyFill="1" applyBorder="1" applyAlignment="1">
      <alignment horizontal="right"/>
    </xf>
    <xf numFmtId="3" fontId="26" fillId="17" borderId="18" xfId="0" applyNumberFormat="1" applyFont="1" applyFill="1" applyBorder="1" applyAlignment="1">
      <alignment horizontal="right"/>
    </xf>
    <xf numFmtId="14" fontId="4" fillId="4" borderId="18" xfId="0" applyNumberFormat="1" applyFont="1" applyFill="1" applyBorder="1" applyAlignment="1">
      <alignment horizontal="center"/>
    </xf>
    <xf numFmtId="164" fontId="3" fillId="18" borderId="0" xfId="0" applyNumberFormat="1" applyFont="1" applyFill="1" applyAlignment="1">
      <alignment horizontal="right"/>
    </xf>
    <xf numFmtId="0" fontId="14" fillId="19" borderId="0" xfId="0" applyFont="1" applyFill="1"/>
    <xf numFmtId="0" fontId="14" fillId="2" borderId="0" xfId="0" applyFont="1" applyFill="1"/>
    <xf numFmtId="3" fontId="14" fillId="6" borderId="0" xfId="0" applyNumberFormat="1" applyFont="1" applyFill="1"/>
    <xf numFmtId="0" fontId="14" fillId="6" borderId="0" xfId="0" applyFont="1" applyFill="1"/>
    <xf numFmtId="0" fontId="1" fillId="20" borderId="19" xfId="0" applyFont="1" applyFill="1" applyBorder="1"/>
    <xf numFmtId="0" fontId="0" fillId="6" borderId="0" xfId="0" applyFill="1"/>
    <xf numFmtId="0" fontId="1" fillId="20" borderId="21" xfId="0" applyFont="1" applyFill="1" applyBorder="1"/>
    <xf numFmtId="1" fontId="1" fillId="3" borderId="20" xfId="0" applyNumberFormat="1" applyFont="1" applyFill="1" applyBorder="1" applyAlignment="1">
      <alignment horizontal="right"/>
    </xf>
    <xf numFmtId="0" fontId="2" fillId="21" borderId="1" xfId="0" applyFont="1" applyFill="1" applyBorder="1" applyAlignment="1">
      <alignment horizontal="left" vertical="center"/>
    </xf>
    <xf numFmtId="0" fontId="1" fillId="21" borderId="2" xfId="0" applyFont="1" applyFill="1" applyBorder="1"/>
    <xf numFmtId="166" fontId="0" fillId="5" borderId="0" xfId="0" applyNumberFormat="1" applyFill="1"/>
    <xf numFmtId="166" fontId="0" fillId="16" borderId="0" xfId="0" applyNumberFormat="1" applyFill="1"/>
    <xf numFmtId="0" fontId="4" fillId="2" borderId="0" xfId="0" applyFont="1" applyFill="1"/>
    <xf numFmtId="0" fontId="4" fillId="18" borderId="0" xfId="0" applyFont="1" applyFill="1"/>
    <xf numFmtId="3" fontId="4" fillId="18" borderId="0" xfId="0" applyNumberFormat="1" applyFont="1" applyFill="1" applyAlignment="1">
      <alignment horizontal="right"/>
    </xf>
    <xf numFmtId="3" fontId="28" fillId="2" borderId="0" xfId="0" applyNumberFormat="1" applyFont="1" applyFill="1" applyAlignment="1">
      <alignment horizontal="right"/>
    </xf>
    <xf numFmtId="0" fontId="6" fillId="2" borderId="0" xfId="1" applyFill="1" applyBorder="1" applyAlignment="1" applyProtection="1">
      <alignment horizontal="center"/>
    </xf>
    <xf numFmtId="3" fontId="6" fillId="2" borderId="0" xfId="1" applyNumberFormat="1" applyFill="1" applyBorder="1" applyAlignment="1" applyProtection="1">
      <alignment horizontal="center"/>
    </xf>
    <xf numFmtId="3" fontId="6" fillId="2" borderId="0" xfId="1" applyNumberFormat="1" applyFill="1" applyAlignment="1" applyProtection="1">
      <alignment horizontal="left"/>
    </xf>
    <xf numFmtId="0" fontId="6" fillId="2" borderId="0" xfId="1" applyFill="1" applyAlignment="1" applyProtection="1"/>
    <xf numFmtId="167" fontId="30" fillId="2" borderId="0" xfId="2" applyNumberFormat="1" applyFont="1" applyFill="1" applyBorder="1" applyAlignment="1">
      <alignment horizontal="left"/>
    </xf>
    <xf numFmtId="14" fontId="0" fillId="12" borderId="15" xfId="0" applyNumberFormat="1" applyFont="1" applyFill="1" applyBorder="1" applyAlignment="1">
      <alignment horizontal="center"/>
    </xf>
    <xf numFmtId="14" fontId="0" fillId="12" borderId="16" xfId="0" applyNumberFormat="1" applyFont="1" applyFill="1" applyBorder="1" applyAlignment="1">
      <alignment horizontal="center"/>
    </xf>
    <xf numFmtId="164" fontId="0" fillId="12" borderId="13" xfId="0" applyNumberFormat="1" applyFont="1" applyFill="1" applyBorder="1" applyAlignment="1">
      <alignment horizontal="center"/>
    </xf>
    <xf numFmtId="164" fontId="0" fillId="12" borderId="14" xfId="0" applyNumberFormat="1" applyFont="1" applyFill="1" applyBorder="1" applyAlignment="1">
      <alignment horizontal="center"/>
    </xf>
  </cellXfs>
  <cellStyles count="3">
    <cellStyle name="Lien hypertexte" xfId="1" builtinId="8"/>
    <cellStyle name="Normal" xfId="0" builtinId="0"/>
    <cellStyle name="Pourcentage" xfId="2" builtinId="5"/>
  </cellStyles>
  <dxfs count="69"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9" formatCode="dd/mm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9" formatCode="dd/mm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9" formatCode="dd/mm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6" formatCode="yyyy\-mm\-dd;@"/>
      <fill>
        <patternFill>
          <fgColor indexed="64"/>
          <bgColor theme="0" tint="-0.34998626667073579"/>
        </patternFill>
      </fill>
    </dxf>
    <dxf>
      <numFmt numFmtId="30" formatCode="@"/>
      <fill>
        <patternFill>
          <fgColor indexed="64"/>
          <bgColor theme="0" tint="-0.34998626667073579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" formatCode="0"/>
      <fill>
        <patternFill patternType="solid">
          <fgColor indexed="64"/>
          <bgColor rgb="FFC00000"/>
        </patternFill>
      </fill>
      <alignment horizontal="right" vertical="bottom" textRotation="0" wrapText="0" relativeIndent="0" justifyLastLine="0" shrinkToFit="0" readingOrder="0"/>
      <protection locked="0" hidden="0"/>
    </dxf>
  </dxfs>
  <tableStyles count="0" defaultTableStyle="TableStyleMedium9" defaultPivotStyle="PivotStyleLight16"/>
  <colors>
    <mruColors>
      <color rgb="FFDDC6CA"/>
      <color rgb="FFC4E76A"/>
      <color rgb="FFC4D5D0"/>
      <color rgb="FFA9ADE4"/>
      <color rgb="FF0058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v>Immo.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Agregats!$C$16</c:f>
              <c:strCache>
                <c:ptCount val="1"/>
                <c:pt idx="0">
                  <c:v>Date de cloture de l'exercice</c:v>
                </c:pt>
              </c:strCache>
            </c:strRef>
          </c:cat>
          <c:val>
            <c:numRef>
              <c:f>Agregats!$C$18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B-4AA4-8D5E-3D1A44F8A935}"/>
            </c:ext>
          </c:extLst>
        </c:ser>
        <c:ser>
          <c:idx val="1"/>
          <c:order val="1"/>
          <c:tx>
            <c:v>Actif circulant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Agregats!$C$16</c:f>
              <c:strCache>
                <c:ptCount val="1"/>
                <c:pt idx="0">
                  <c:v>Date de cloture de l'exercice</c:v>
                </c:pt>
              </c:strCache>
            </c:strRef>
          </c:cat>
          <c:val>
            <c:numRef>
              <c:f>Agregats!$C$23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0B-4AA4-8D5E-3D1A44F8A93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"/>
        <c:overlap val="100"/>
        <c:axId val="1155307807"/>
        <c:axId val="1765276607"/>
      </c:barChart>
      <c:catAx>
        <c:axId val="1155307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5276607"/>
        <c:crosses val="autoZero"/>
        <c:auto val="1"/>
        <c:lblAlgn val="ctr"/>
        <c:lblOffset val="100"/>
        <c:noMultiLvlLbl val="0"/>
      </c:catAx>
      <c:valAx>
        <c:axId val="176527660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15530780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v>Immo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Agregats!$D$16</c:f>
              <c:strCache>
                <c:ptCount val="1"/>
                <c:pt idx="0">
                  <c:v>Date de cloture de l'exercice n-1</c:v>
                </c:pt>
              </c:strCache>
            </c:strRef>
          </c:cat>
          <c:val>
            <c:numRef>
              <c:f>Agregats!$D$18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7-4B25-9D35-936D4B3ED061}"/>
            </c:ext>
          </c:extLst>
        </c:ser>
        <c:ser>
          <c:idx val="1"/>
          <c:order val="1"/>
          <c:tx>
            <c:v>Actif Circulant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Agregats!$D$16</c:f>
              <c:strCache>
                <c:ptCount val="1"/>
                <c:pt idx="0">
                  <c:v>Date de cloture de l'exercice n-1</c:v>
                </c:pt>
              </c:strCache>
            </c:strRef>
          </c:cat>
          <c:val>
            <c:numRef>
              <c:f>Agregats!$D$23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67-4B25-9D35-936D4B3ED06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"/>
        <c:overlap val="100"/>
        <c:axId val="1155307807"/>
        <c:axId val="1765276607"/>
      </c:barChart>
      <c:catAx>
        <c:axId val="1155307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5276607"/>
        <c:crosses val="autoZero"/>
        <c:auto val="1"/>
        <c:lblAlgn val="ctr"/>
        <c:lblOffset val="100"/>
        <c:noMultiLvlLbl val="0"/>
      </c:catAx>
      <c:valAx>
        <c:axId val="176527660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15530780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v>Immo.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VUE!$C$16</c:f>
              <c:numCache>
                <c:formatCode>m/d/yyyy</c:formatCode>
                <c:ptCount val="1"/>
                <c:pt idx="0">
                  <c:v>42978</c:v>
                </c:pt>
              </c:numCache>
            </c:numRef>
          </c:cat>
          <c:val>
            <c:numRef>
              <c:f>VUE!$C$18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0-45C4-8A45-B2176B93F5B6}"/>
            </c:ext>
          </c:extLst>
        </c:ser>
        <c:ser>
          <c:idx val="1"/>
          <c:order val="1"/>
          <c:tx>
            <c:v>Actif circulant</c:v>
          </c:tx>
          <c:spPr>
            <a:solidFill>
              <a:srgbClr val="A9ADE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VUE!$C$16</c:f>
              <c:numCache>
                <c:formatCode>m/d/yyyy</c:formatCode>
                <c:ptCount val="1"/>
                <c:pt idx="0">
                  <c:v>42978</c:v>
                </c:pt>
              </c:numCache>
            </c:numRef>
          </c:cat>
          <c:val>
            <c:numRef>
              <c:f>VUE!$C$23</c:f>
              <c:numCache>
                <c:formatCode>#,##0</c:formatCode>
                <c:ptCount val="1"/>
                <c:pt idx="0">
                  <c:v>12843000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00-45C4-8A45-B2176B93F5B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"/>
        <c:overlap val="100"/>
        <c:axId val="1155307807"/>
        <c:axId val="1765276607"/>
      </c:barChart>
      <c:dateAx>
        <c:axId val="1155307807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5276607"/>
        <c:crosses val="autoZero"/>
        <c:auto val="1"/>
        <c:lblOffset val="100"/>
        <c:baseTimeUnit val="days"/>
      </c:dateAx>
      <c:valAx>
        <c:axId val="176527660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15530780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v>Immo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VUE!$D$16</c:f>
              <c:numCache>
                <c:formatCode>m/d/yyyy</c:formatCode>
                <c:ptCount val="1"/>
                <c:pt idx="0">
                  <c:v>42613</c:v>
                </c:pt>
              </c:numCache>
            </c:numRef>
          </c:cat>
          <c:val>
            <c:numRef>
              <c:f>VUE!$D$18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01-469A-83EF-8C4D6C9119B0}"/>
            </c:ext>
          </c:extLst>
        </c:ser>
        <c:ser>
          <c:idx val="1"/>
          <c:order val="1"/>
          <c:tx>
            <c:v>Actif Circulant</c:v>
          </c:tx>
          <c:spPr>
            <a:solidFill>
              <a:srgbClr val="A9ADE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VUE!$D$16</c:f>
              <c:numCache>
                <c:formatCode>m/d/yyyy</c:formatCode>
                <c:ptCount val="1"/>
                <c:pt idx="0">
                  <c:v>42613</c:v>
                </c:pt>
              </c:numCache>
            </c:numRef>
          </c:cat>
          <c:val>
            <c:numRef>
              <c:f>VUE!$D$23</c:f>
              <c:numCache>
                <c:formatCode>#,##0</c:formatCode>
                <c:ptCount val="1"/>
                <c:pt idx="0">
                  <c:v>17509000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01-469A-83EF-8C4D6C9119B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"/>
        <c:overlap val="100"/>
        <c:axId val="1155307807"/>
        <c:axId val="1765276607"/>
      </c:barChart>
      <c:dateAx>
        <c:axId val="1155307807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5276607"/>
        <c:crosses val="autoZero"/>
        <c:auto val="1"/>
        <c:lblOffset val="100"/>
        <c:baseTimeUnit val="days"/>
      </c:dateAx>
      <c:valAx>
        <c:axId val="176527660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15530780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v>Dettes</c:v>
          </c:tx>
          <c:spPr>
            <a:solidFill>
              <a:srgbClr val="DDC6C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VUE!$C$16</c:f>
              <c:numCache>
                <c:formatCode>m/d/yyyy</c:formatCode>
                <c:ptCount val="1"/>
                <c:pt idx="0">
                  <c:v>42978</c:v>
                </c:pt>
              </c:numCache>
            </c:numRef>
          </c:cat>
          <c:val>
            <c:numRef>
              <c:f>VUE!$C$32</c:f>
              <c:numCache>
                <c:formatCode>#,##0</c:formatCode>
                <c:ptCount val="1"/>
                <c:pt idx="0">
                  <c:v>3899000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A1-44D0-805C-DF1286506E11}"/>
            </c:ext>
          </c:extLst>
        </c:ser>
        <c:ser>
          <c:idx val="1"/>
          <c:order val="1"/>
          <c:tx>
            <c:v>Capitaux permanents</c:v>
          </c:tx>
          <c:spPr>
            <a:solidFill>
              <a:srgbClr val="C4E7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VUE!$C$16</c:f>
              <c:numCache>
                <c:formatCode>m/d/yyyy</c:formatCode>
                <c:ptCount val="1"/>
                <c:pt idx="0">
                  <c:v>42978</c:v>
                </c:pt>
              </c:numCache>
            </c:numRef>
          </c:cat>
          <c:val>
            <c:numRef>
              <c:f>VUE!$C$28</c:f>
              <c:numCache>
                <c:formatCode>#,##0</c:formatCode>
                <c:ptCount val="1"/>
                <c:pt idx="0">
                  <c:v>38056000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A1-44D0-805C-DF1286506E1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"/>
        <c:overlap val="100"/>
        <c:axId val="1155307807"/>
        <c:axId val="1765276607"/>
      </c:barChart>
      <c:dateAx>
        <c:axId val="1155307807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5276607"/>
        <c:crosses val="autoZero"/>
        <c:auto val="1"/>
        <c:lblOffset val="100"/>
        <c:baseTimeUnit val="days"/>
      </c:dateAx>
      <c:valAx>
        <c:axId val="176527660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15530780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DDC6CA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Dettes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B5-42F9-8F21-A29A6652A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VUE!$D$16</c:f>
              <c:numCache>
                <c:formatCode>m/d/yyyy</c:formatCode>
                <c:ptCount val="1"/>
                <c:pt idx="0">
                  <c:v>42613</c:v>
                </c:pt>
              </c:numCache>
            </c:numRef>
          </c:cat>
          <c:val>
            <c:numRef>
              <c:f>VUE!$D$32</c:f>
              <c:numCache>
                <c:formatCode>#,##0</c:formatCode>
                <c:ptCount val="1"/>
                <c:pt idx="0">
                  <c:v>5291000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B5-42F9-8F21-A29A6652A9E2}"/>
            </c:ext>
          </c:extLst>
        </c:ser>
        <c:ser>
          <c:idx val="1"/>
          <c:order val="1"/>
          <c:spPr>
            <a:solidFill>
              <a:srgbClr val="C4E76A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Capitaux</a:t>
                    </a:r>
                    <a:r>
                      <a:rPr lang="en-US" baseline="0"/>
                      <a:t> permanents</a:t>
                    </a:r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B5-42F9-8F21-A29A6652A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VUE!$D$16</c:f>
              <c:numCache>
                <c:formatCode>m/d/yyyy</c:formatCode>
                <c:ptCount val="1"/>
                <c:pt idx="0">
                  <c:v>42613</c:v>
                </c:pt>
              </c:numCache>
            </c:numRef>
          </c:cat>
          <c:val>
            <c:numRef>
              <c:f>VUE!$D$28</c:f>
              <c:numCache>
                <c:formatCode>#,##0</c:formatCode>
                <c:ptCount val="1"/>
                <c:pt idx="0">
                  <c:v>36713000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B5-42F9-8F21-A29A6652A9E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"/>
        <c:overlap val="100"/>
        <c:axId val="1155307807"/>
        <c:axId val="1765276607"/>
      </c:barChart>
      <c:dateAx>
        <c:axId val="1155307807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5276607"/>
        <c:crosses val="autoZero"/>
        <c:auto val="1"/>
        <c:lblOffset val="100"/>
        <c:baseTimeUnit val="days"/>
      </c:dateAx>
      <c:valAx>
        <c:axId val="176527660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15530780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v>Charges D'Expl.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Charges</a:t>
                    </a:r>
                    <a:r>
                      <a:rPr lang="en-US" baseline="0"/>
                      <a:t> d'Expl.</a:t>
                    </a:r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7F-41DE-9895-761CEC2976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VUE!$C$37</c:f>
              <c:numCache>
                <c:formatCode>m/d/yyyy</c:formatCode>
                <c:ptCount val="1"/>
                <c:pt idx="0">
                  <c:v>42978</c:v>
                </c:pt>
              </c:numCache>
            </c:numRef>
          </c:cat>
          <c:val>
            <c:numRef>
              <c:f>VUE!$C$40</c:f>
              <c:numCache>
                <c:formatCode>#,##0</c:formatCode>
                <c:ptCount val="1"/>
                <c:pt idx="0">
                  <c:v>35337000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7F-41DE-9895-761CEC297606}"/>
            </c:ext>
          </c:extLst>
        </c:ser>
        <c:ser>
          <c:idx val="1"/>
          <c:order val="1"/>
          <c:tx>
            <c:v>CA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VUE!$C$37</c:f>
              <c:numCache>
                <c:formatCode>m/d/yyyy</c:formatCode>
                <c:ptCount val="1"/>
                <c:pt idx="0">
                  <c:v>42978</c:v>
                </c:pt>
              </c:numCache>
            </c:numRef>
          </c:cat>
          <c:val>
            <c:numRef>
              <c:f>VUE!$C$38</c:f>
              <c:numCache>
                <c:formatCode>#,##0</c:formatCode>
                <c:ptCount val="1"/>
                <c:pt idx="0">
                  <c:v>44307000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7F-41DE-9895-761CEC297606}"/>
            </c:ext>
          </c:extLst>
        </c:ser>
        <c:ser>
          <c:idx val="2"/>
          <c:order val="2"/>
          <c:tx>
            <c:v>Autres résultats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VUE!$C$37</c:f>
              <c:numCache>
                <c:formatCode>m/d/yyyy</c:formatCode>
                <c:ptCount val="1"/>
                <c:pt idx="0">
                  <c:v>42978</c:v>
                </c:pt>
              </c:numCache>
            </c:numRef>
          </c:cat>
          <c:val>
            <c:numRef>
              <c:f>VUE!$C$48</c:f>
              <c:numCache>
                <c:formatCode>#,##0</c:formatCode>
                <c:ptCount val="1"/>
                <c:pt idx="0">
                  <c:v>-291000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7F-41DE-9895-761CEC29760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"/>
        <c:overlap val="100"/>
        <c:axId val="1155307807"/>
        <c:axId val="1765276607"/>
      </c:barChart>
      <c:dateAx>
        <c:axId val="1155307807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5276607"/>
        <c:crosses val="autoZero"/>
        <c:auto val="1"/>
        <c:lblOffset val="100"/>
        <c:baseTimeUnit val="days"/>
      </c:dateAx>
      <c:valAx>
        <c:axId val="176527660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15530780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VUE!$B$40</c:f>
              <c:strCache>
                <c:ptCount val="1"/>
                <c:pt idx="0">
                  <c:v>Total des charges d'exploitation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Charges d'Expl.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78-46CF-B1D8-E3E4D445A5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VUE!$D$37</c:f>
              <c:numCache>
                <c:formatCode>m/d/yyyy</c:formatCode>
                <c:ptCount val="1"/>
                <c:pt idx="0">
                  <c:v>42613</c:v>
                </c:pt>
              </c:numCache>
            </c:numRef>
          </c:cat>
          <c:val>
            <c:numRef>
              <c:f>VUE!$D$40</c:f>
              <c:numCache>
                <c:formatCode>#,##0</c:formatCode>
                <c:ptCount val="1"/>
                <c:pt idx="0">
                  <c:v>31070000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78-46CF-B1D8-E3E4D445A557}"/>
            </c:ext>
          </c:extLst>
        </c:ser>
        <c:ser>
          <c:idx val="1"/>
          <c:order val="1"/>
          <c:tx>
            <c:strRef>
              <c:f>VUE!$B$38</c:f>
              <c:strCache>
                <c:ptCount val="1"/>
                <c:pt idx="0">
                  <c:v>Chiffres d'affaires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CA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78-46CF-B1D8-E3E4D445A5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VUE!$D$37</c:f>
              <c:numCache>
                <c:formatCode>m/d/yyyy</c:formatCode>
                <c:ptCount val="1"/>
                <c:pt idx="0">
                  <c:v>42613</c:v>
                </c:pt>
              </c:numCache>
            </c:numRef>
          </c:cat>
          <c:val>
            <c:numRef>
              <c:f>VUE!$D$38</c:f>
              <c:numCache>
                <c:formatCode>#,##0</c:formatCode>
                <c:ptCount val="1"/>
                <c:pt idx="0">
                  <c:v>38189000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78-46CF-B1D8-E3E4D445A557}"/>
            </c:ext>
          </c:extLst>
        </c:ser>
        <c:ser>
          <c:idx val="2"/>
          <c:order val="2"/>
          <c:tx>
            <c:v>Autres résultats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VUE!$D$37</c:f>
              <c:numCache>
                <c:formatCode>m/d/yyyy</c:formatCode>
                <c:ptCount val="1"/>
                <c:pt idx="0">
                  <c:v>42613</c:v>
                </c:pt>
              </c:numCache>
            </c:numRef>
          </c:cat>
          <c:val>
            <c:numRef>
              <c:f>VUE!$C$48</c:f>
              <c:numCache>
                <c:formatCode>#,##0</c:formatCode>
                <c:ptCount val="1"/>
                <c:pt idx="0">
                  <c:v>-291000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78-46CF-B1D8-E3E4D445A55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"/>
        <c:overlap val="100"/>
        <c:axId val="1155307807"/>
        <c:axId val="1765276607"/>
      </c:barChart>
      <c:dateAx>
        <c:axId val="1155307807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5276607"/>
        <c:crosses val="autoZero"/>
        <c:auto val="1"/>
        <c:lblOffset val="100"/>
        <c:baseTimeUnit val="days"/>
      </c:dateAx>
      <c:valAx>
        <c:axId val="176527660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15530780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VUE!$B$63</c:f>
              <c:strCache>
                <c:ptCount val="1"/>
                <c:pt idx="0">
                  <c:v>Excédent Brut d'Exploitation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EBE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BC-4A20-AD7D-DFFBA0F36B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VUE!$C$37</c:f>
              <c:numCache>
                <c:formatCode>m/d/yyyy</c:formatCode>
                <c:ptCount val="1"/>
                <c:pt idx="0">
                  <c:v>42978</c:v>
                </c:pt>
              </c:numCache>
            </c:numRef>
          </c:cat>
          <c:val>
            <c:numRef>
              <c:f>VUE!$C$63</c:f>
              <c:numCache>
                <c:formatCode>#,##0</c:formatCode>
                <c:ptCount val="1"/>
                <c:pt idx="0">
                  <c:v>43628000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C-4A20-AD7D-DFFBA0F36BEE}"/>
            </c:ext>
          </c:extLst>
        </c:ser>
        <c:ser>
          <c:idx val="1"/>
          <c:order val="1"/>
          <c:tx>
            <c:v>CA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VUE!$C$37</c:f>
              <c:numCache>
                <c:formatCode>m/d/yyyy</c:formatCode>
                <c:ptCount val="1"/>
                <c:pt idx="0">
                  <c:v>42978</c:v>
                </c:pt>
              </c:numCache>
            </c:numRef>
          </c:cat>
          <c:val>
            <c:numRef>
              <c:f>VUE!$C$38</c:f>
              <c:numCache>
                <c:formatCode>#,##0</c:formatCode>
                <c:ptCount val="1"/>
                <c:pt idx="0">
                  <c:v>44307000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BC-4A20-AD7D-DFFBA0F36BEE}"/>
            </c:ext>
          </c:extLst>
        </c:ser>
        <c:ser>
          <c:idx val="2"/>
          <c:order val="2"/>
          <c:tx>
            <c:v>Autres résultats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VUE!$C$37</c:f>
              <c:numCache>
                <c:formatCode>m/d/yyyy</c:formatCode>
                <c:ptCount val="1"/>
                <c:pt idx="0">
                  <c:v>42978</c:v>
                </c:pt>
              </c:numCache>
            </c:numRef>
          </c:cat>
          <c:val>
            <c:numRef>
              <c:f>VUE!$C$48</c:f>
              <c:numCache>
                <c:formatCode>#,##0</c:formatCode>
                <c:ptCount val="1"/>
                <c:pt idx="0">
                  <c:v>-291000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BC-4A20-AD7D-DFFBA0F36BE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"/>
        <c:overlap val="100"/>
        <c:axId val="1155307807"/>
        <c:axId val="1765276607"/>
      </c:barChart>
      <c:dateAx>
        <c:axId val="1155307807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5276607"/>
        <c:crosses val="autoZero"/>
        <c:auto val="1"/>
        <c:lblOffset val="100"/>
        <c:baseTimeUnit val="days"/>
      </c:dateAx>
      <c:valAx>
        <c:axId val="176527660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15530780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VUE!$B$63</c:f>
              <c:strCache>
                <c:ptCount val="1"/>
                <c:pt idx="0">
                  <c:v>Excédent Brut d'Exploitation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4931-4F3A-A0C9-3319A9D826D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EBE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31-4F3A-A0C9-3319A9D826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VUE!$C$37</c:f>
              <c:numCache>
                <c:formatCode>m/d/yyyy</c:formatCode>
                <c:ptCount val="1"/>
                <c:pt idx="0">
                  <c:v>42978</c:v>
                </c:pt>
              </c:numCache>
            </c:numRef>
          </c:cat>
          <c:val>
            <c:numRef>
              <c:f>VUE!$C$63</c:f>
              <c:numCache>
                <c:formatCode>#,##0</c:formatCode>
                <c:ptCount val="1"/>
                <c:pt idx="0">
                  <c:v>43628000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31-4F3A-A0C9-3319A9D826D4}"/>
            </c:ext>
          </c:extLst>
        </c:ser>
        <c:ser>
          <c:idx val="1"/>
          <c:order val="1"/>
          <c:tx>
            <c:v>CA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VUE!$C$37</c:f>
              <c:numCache>
                <c:formatCode>m/d/yyyy</c:formatCode>
                <c:ptCount val="1"/>
                <c:pt idx="0">
                  <c:v>42978</c:v>
                </c:pt>
              </c:numCache>
            </c:numRef>
          </c:cat>
          <c:val>
            <c:numRef>
              <c:f>VUE!$C$38</c:f>
              <c:numCache>
                <c:formatCode>#,##0</c:formatCode>
                <c:ptCount val="1"/>
                <c:pt idx="0">
                  <c:v>44307000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31-4F3A-A0C9-3319A9D826D4}"/>
            </c:ext>
          </c:extLst>
        </c:ser>
        <c:ser>
          <c:idx val="2"/>
          <c:order val="2"/>
          <c:tx>
            <c:v>Autres résultats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VUE!$C$37</c:f>
              <c:numCache>
                <c:formatCode>m/d/yyyy</c:formatCode>
                <c:ptCount val="1"/>
                <c:pt idx="0">
                  <c:v>42978</c:v>
                </c:pt>
              </c:numCache>
            </c:numRef>
          </c:cat>
          <c:val>
            <c:numRef>
              <c:f>VUE!$C$48</c:f>
              <c:numCache>
                <c:formatCode>#,##0</c:formatCode>
                <c:ptCount val="1"/>
                <c:pt idx="0">
                  <c:v>-291000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31-4F3A-A0C9-3319A9D826D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"/>
        <c:overlap val="100"/>
        <c:axId val="1155307807"/>
        <c:axId val="1765276607"/>
      </c:barChart>
      <c:dateAx>
        <c:axId val="1155307807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5276607"/>
        <c:crosses val="autoZero"/>
        <c:auto val="1"/>
        <c:lblOffset val="100"/>
        <c:baseTimeUnit val="days"/>
      </c:dateAx>
      <c:valAx>
        <c:axId val="176527660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15530780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0" dropStyle="combo" dx="17" fmlaLink="$E2" fmlaRange="calculs!$B$1:$B$9" sel="1" val="0"/>
</file>

<file path=xl/ctrlProps/ctrlProp2.xml><?xml version="1.0" encoding="utf-8"?>
<formControlPr xmlns="http://schemas.microsoft.com/office/spreadsheetml/2009/9/main" objectType="Drop" dropLines="30" dropStyle="combo" dx="17" fmlaLink="$E$2" fmlaRange="LISTE!B2:B337" sel="5" val="2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0</xdr:row>
          <xdr:rowOff>47625</xdr:rowOff>
        </xdr:from>
        <xdr:to>
          <xdr:col>4</xdr:col>
          <xdr:colOff>238125</xdr:colOff>
          <xdr:row>1</xdr:row>
          <xdr:rowOff>104775</xdr:rowOff>
        </xdr:to>
        <xdr:sp macro="" textlink="">
          <xdr:nvSpPr>
            <xdr:cNvPr id="10241" name="Drop Dow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4</xdr:col>
      <xdr:colOff>7329</xdr:colOff>
      <xdr:row>17</xdr:row>
      <xdr:rowOff>21980</xdr:rowOff>
    </xdr:from>
    <xdr:to>
      <xdr:col>5</xdr:col>
      <xdr:colOff>630117</xdr:colOff>
      <xdr:row>26</xdr:row>
      <xdr:rowOff>29306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359020</xdr:colOff>
      <xdr:row>17</xdr:row>
      <xdr:rowOff>29307</xdr:rowOff>
    </xdr:from>
    <xdr:to>
      <xdr:col>7</xdr:col>
      <xdr:colOff>0</xdr:colOff>
      <xdr:row>26</xdr:row>
      <xdr:rowOff>36633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0</xdr:row>
          <xdr:rowOff>47625</xdr:rowOff>
        </xdr:from>
        <xdr:to>
          <xdr:col>5</xdr:col>
          <xdr:colOff>38100</xdr:colOff>
          <xdr:row>1</xdr:row>
          <xdr:rowOff>104775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4</xdr:col>
      <xdr:colOff>95253</xdr:colOff>
      <xdr:row>17</xdr:row>
      <xdr:rowOff>21980</xdr:rowOff>
    </xdr:from>
    <xdr:to>
      <xdr:col>5</xdr:col>
      <xdr:colOff>718041</xdr:colOff>
      <xdr:row>26</xdr:row>
      <xdr:rowOff>29306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432290</xdr:colOff>
      <xdr:row>17</xdr:row>
      <xdr:rowOff>21980</xdr:rowOff>
    </xdr:from>
    <xdr:to>
      <xdr:col>7</xdr:col>
      <xdr:colOff>73270</xdr:colOff>
      <xdr:row>26</xdr:row>
      <xdr:rowOff>29306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95252</xdr:colOff>
      <xdr:row>26</xdr:row>
      <xdr:rowOff>14653</xdr:rowOff>
    </xdr:from>
    <xdr:to>
      <xdr:col>5</xdr:col>
      <xdr:colOff>718040</xdr:colOff>
      <xdr:row>35</xdr:row>
      <xdr:rowOff>21980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424964</xdr:colOff>
      <xdr:row>26</xdr:row>
      <xdr:rowOff>14653</xdr:rowOff>
    </xdr:from>
    <xdr:to>
      <xdr:col>7</xdr:col>
      <xdr:colOff>65944</xdr:colOff>
      <xdr:row>35</xdr:row>
      <xdr:rowOff>21980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124559</xdr:colOff>
      <xdr:row>37</xdr:row>
      <xdr:rowOff>0</xdr:rowOff>
    </xdr:from>
    <xdr:to>
      <xdr:col>5</xdr:col>
      <xdr:colOff>747347</xdr:colOff>
      <xdr:row>46</xdr:row>
      <xdr:rowOff>7327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454271</xdr:colOff>
      <xdr:row>37</xdr:row>
      <xdr:rowOff>0</xdr:rowOff>
    </xdr:from>
    <xdr:to>
      <xdr:col>7</xdr:col>
      <xdr:colOff>95251</xdr:colOff>
      <xdr:row>46</xdr:row>
      <xdr:rowOff>7327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139213</xdr:colOff>
      <xdr:row>58</xdr:row>
      <xdr:rowOff>0</xdr:rowOff>
    </xdr:from>
    <xdr:to>
      <xdr:col>5</xdr:col>
      <xdr:colOff>762001</xdr:colOff>
      <xdr:row>67</xdr:row>
      <xdr:rowOff>7327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476252</xdr:colOff>
      <xdr:row>58</xdr:row>
      <xdr:rowOff>0</xdr:rowOff>
    </xdr:from>
    <xdr:to>
      <xdr:col>7</xdr:col>
      <xdr:colOff>117232</xdr:colOff>
      <xdr:row>67</xdr:row>
      <xdr:rowOff>7327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4141</xdr:colOff>
      <xdr:row>33</xdr:row>
      <xdr:rowOff>151986</xdr:rowOff>
    </xdr:from>
    <xdr:to>
      <xdr:col>2</xdr:col>
      <xdr:colOff>198368</xdr:colOff>
      <xdr:row>35</xdr:row>
      <xdr:rowOff>7041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37500" b="32025"/>
        <a:stretch/>
      </xdr:blipFill>
      <xdr:spPr>
        <a:xfrm>
          <a:off x="1613866" y="4933536"/>
          <a:ext cx="194227" cy="178905"/>
        </a:xfrm>
        <a:prstGeom prst="rect">
          <a:avLst/>
        </a:prstGeom>
      </xdr:spPr>
    </xdr:pic>
    <xdr:clientData/>
  </xdr:twoCellAnchor>
  <xdr:twoCellAnchor editAs="oneCell">
    <xdr:from>
      <xdr:col>5</xdr:col>
      <xdr:colOff>3187</xdr:colOff>
      <xdr:row>35</xdr:row>
      <xdr:rowOff>131280</xdr:rowOff>
    </xdr:from>
    <xdr:to>
      <xdr:col>5</xdr:col>
      <xdr:colOff>225287</xdr:colOff>
      <xdr:row>37</xdr:row>
      <xdr:rowOff>6211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98912" y="5236680"/>
          <a:ext cx="222100" cy="19878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e" displayName="Liste" ref="A1:OK337" totalsRowShown="0" headerRowDxfId="68" headerRowBorderDxfId="67">
  <autoFilter ref="A1:OK337" xr:uid="{00000000-0009-0000-0100-000001000000}"/>
  <sortState ref="A2:OK337">
    <sortCondition descending="1" ref="NY1:NY337"/>
  </sortState>
  <tableColumns count="401">
    <tableColumn id="1" xr3:uid="{00000000-0010-0000-0000-000001000000}" name="N°RCS" dataDxfId="66">
      <calculatedColumnFormula>Liste[[#This Row],[Siren]]</calculatedColumnFormula>
    </tableColumn>
    <tableColumn id="2" xr3:uid="{00000000-0010-0000-0000-000002000000}" name="NOM - DATE" dataDxfId="65">
      <calculatedColumnFormula>Liste[[#This Row],[Dénomination]]&amp;" - comptes "&amp;YEAR(Liste[[#This Row],[Date de cloture de l''exercice]])</calculatedColumnFormula>
    </tableColumn>
    <tableColumn id="22" xr3:uid="{00000000-0010-0000-0000-000016000000}" name="Actif (bilan): Parts à moins d'un an Brut"/>
    <tableColumn id="23" xr3:uid="{00000000-0010-0000-0000-000017000000}" name="Actif (bilan): Parts à plus d'un an Brut"/>
    <tableColumn id="24" xr3:uid="{00000000-0010-0000-0000-000018000000}" name="Actif (bilan):Autres créances Amortissement année N"/>
    <tableColumn id="25" xr3:uid="{00000000-0010-0000-0000-000019000000}" name="Actif (bilan):Autres créances Net année N" dataDxfId="64"/>
    <tableColumn id="26" xr3:uid="{00000000-0010-0000-0000-00001A000000}" name="Actif (bilan):Autres créances Net année N-1" dataDxfId="63"/>
    <tableColumn id="27" xr3:uid="{00000000-0010-0000-0000-00001B000000}" name="Actif (bilan):Autres créances brut Année N"/>
    <tableColumn id="28" xr3:uid="{00000000-0010-0000-0000-00001C000000}" name="Actif (bilan):Autres immobilisations corporelles Amortissement année N"/>
    <tableColumn id="29" xr3:uid="{00000000-0010-0000-0000-00001D000000}" name="Actif (bilan):Autres immobilisations corporelles Net année N"/>
    <tableColumn id="30" xr3:uid="{00000000-0010-0000-0000-00001E000000}" name="Actif (bilan):Autres immobilisations corporelles Net année N-1"/>
    <tableColumn id="31" xr3:uid="{00000000-0010-0000-0000-00001F000000}" name="Actif (bilan):Autres immobilisations corporelles brut Année N"/>
    <tableColumn id="32" xr3:uid="{00000000-0010-0000-0000-000020000000}" name="Actif (bilan):Autres immobilisations financiéres Amortissement année N"/>
    <tableColumn id="33" xr3:uid="{00000000-0010-0000-0000-000021000000}" name="Actif (bilan):Autres immobilisations financiéres Net année N"/>
    <tableColumn id="34" xr3:uid="{00000000-0010-0000-0000-000022000000}" name="Actif (bilan):Autres immobilisations financiéres Net année N-1"/>
    <tableColumn id="35" xr3:uid="{00000000-0010-0000-0000-000023000000}" name="Actif (bilan):Autres immobilisations financiéres brut Année N"/>
    <tableColumn id="36" xr3:uid="{00000000-0010-0000-0000-000024000000}" name="Actif (bilan):Autres immobilisations incorporelles Amortissement année N"/>
    <tableColumn id="37" xr3:uid="{00000000-0010-0000-0000-000025000000}" name="Actif (bilan):Autres immobilisations incorporelles Net année N"/>
    <tableColumn id="38" xr3:uid="{00000000-0010-0000-0000-000026000000}" name="Actif (bilan):Autres immobilisations incorporelles Net année N-1"/>
    <tableColumn id="39" xr3:uid="{00000000-0010-0000-0000-000027000000}" name="Actif (bilan):Autres immobilisations incorporelles brut Année N"/>
    <tableColumn id="40" xr3:uid="{00000000-0010-0000-0000-000028000000}" name="Actif (bilan):Autres participations Amortissement année N"/>
    <tableColumn id="41" xr3:uid="{00000000-0010-0000-0000-000029000000}" name="Actif (bilan):Autres participations Net année N"/>
    <tableColumn id="42" xr3:uid="{00000000-0010-0000-0000-00002A000000}" name="Actif (bilan):Autres participations Net année N-1"/>
    <tableColumn id="43" xr3:uid="{00000000-0010-0000-0000-00002B000000}" name="Actif (bilan):Autres participations brut Année N"/>
    <tableColumn id="44" xr3:uid="{00000000-0010-0000-0000-00002C000000}" name="Actif (bilan):Autres titres immobilisés Amortissement année N"/>
    <tableColumn id="45" xr3:uid="{00000000-0010-0000-0000-00002D000000}" name="Actif (bilan):Autres titres immobilisés Net année N"/>
    <tableColumn id="46" xr3:uid="{00000000-0010-0000-0000-00002E000000}" name="Actif (bilan):Autres titres immobilisés Net année N-1"/>
    <tableColumn id="47" xr3:uid="{00000000-0010-0000-0000-00002F000000}" name="Actif (bilan):Autres titres immobilisés brut Année N"/>
    <tableColumn id="48" xr3:uid="{00000000-0010-0000-0000-000030000000}" name="Actif (bilan):Avances et acomptes Amortissement année N"/>
    <tableColumn id="49" xr3:uid="{00000000-0010-0000-0000-000031000000}" name="Actif (bilan):Avances et acomptes Net année N"/>
    <tableColumn id="50" xr3:uid="{00000000-0010-0000-0000-000032000000}" name="Actif (bilan):Avances et acomptes Net année N-1"/>
    <tableColumn id="51" xr3:uid="{00000000-0010-0000-0000-000033000000}" name="Actif (bilan):Avances et acomptes brut Année N"/>
    <tableColumn id="52" xr3:uid="{00000000-0010-0000-0000-000034000000}" name="Actif (bilan):Avances et acomptes sur immobilisations incorporelles Amortissement année N"/>
    <tableColumn id="53" xr3:uid="{00000000-0010-0000-0000-000035000000}" name="Actif (bilan):Avances et acomptes sur immobilisations incorporelles Net année N"/>
    <tableColumn id="54" xr3:uid="{00000000-0010-0000-0000-000036000000}" name="Actif (bilan):Avances et acomptes sur immobilisations incorporelles Net année N-1"/>
    <tableColumn id="55" xr3:uid="{00000000-0010-0000-0000-000037000000}" name="Actif (bilan):Avances et acomptes sur immobilisations incorporelles brut Année N"/>
    <tableColumn id="56" xr3:uid="{00000000-0010-0000-0000-000038000000}" name="Actif (bilan):Avances et acomptes versés sur commandes Amortissement année N"/>
    <tableColumn id="57" xr3:uid="{00000000-0010-0000-0000-000039000000}" name="Actif (bilan):Avances et acomptes versés sur commandes Net année N"/>
    <tableColumn id="58" xr3:uid="{00000000-0010-0000-0000-00003A000000}" name="Actif (bilan):Avances et acomptes versés sur commandes Net année N-1"/>
    <tableColumn id="59" xr3:uid="{00000000-0010-0000-0000-00003B000000}" name="Actif (bilan):Avances et acomptes versés sur commandes brut Année N"/>
    <tableColumn id="60" xr3:uid="{00000000-0010-0000-0000-00003C000000}" name="Actif (bilan):Capital souscrit et appelé, non versé Amortissement année N"/>
    <tableColumn id="61" xr3:uid="{00000000-0010-0000-0000-00003D000000}" name="Actif (bilan):Capital souscrit et appelé, non versé Net année N"/>
    <tableColumn id="62" xr3:uid="{00000000-0010-0000-0000-00003E000000}" name="Actif (bilan):Capital souscrit et appelé, non versé Net année N-1"/>
    <tableColumn id="63" xr3:uid="{00000000-0010-0000-0000-00003F000000}" name="Actif (bilan):Capital souscrit et appelé, non versé brut Année N"/>
    <tableColumn id="64" xr3:uid="{00000000-0010-0000-0000-000040000000}" name="Actif (bilan):Capital souscrit non appelé Net année N"/>
    <tableColumn id="65" xr3:uid="{00000000-0010-0000-0000-000041000000}" name="Actif (bilan):Capital souscrit non appelé Net année N-1"/>
    <tableColumn id="66" xr3:uid="{00000000-0010-0000-0000-000042000000}" name="Actif (bilan):Capital souscrit non appelé brut Année N"/>
    <tableColumn id="67" xr3:uid="{00000000-0010-0000-0000-000043000000}" name="Actif (bilan):Charges à répartir ou frais d'émission d'emprunt Net année N"/>
    <tableColumn id="68" xr3:uid="{00000000-0010-0000-0000-000044000000}" name="Actif (bilan):Charges à répartir ou frais d'émission d'emprunt Net année N-1"/>
    <tableColumn id="69" xr3:uid="{00000000-0010-0000-0000-000045000000}" name="Actif (bilan):Charges à répartir ou frais d'émission d'emprunt brut Année N"/>
    <tableColumn id="70" xr3:uid="{00000000-0010-0000-0000-000046000000}" name="Actif (bilan):Charges constatées d'avance Amortissement année N"/>
    <tableColumn id="71" xr3:uid="{00000000-0010-0000-0000-000047000000}" name="Actif (bilan):Charges constatées d'avance Net année N"/>
    <tableColumn id="72" xr3:uid="{00000000-0010-0000-0000-000048000000}" name="Actif (bilan):Charges constatées d'avance Net année N-1"/>
    <tableColumn id="73" xr3:uid="{00000000-0010-0000-0000-000049000000}" name="Actif (bilan):Charges constatées d'avance brut Année N"/>
    <tableColumn id="74" xr3:uid="{00000000-0010-0000-0000-00004A000000}" name="Actif (bilan):Clients et comptes rattachés Amortissement année N"/>
    <tableColumn id="75" xr3:uid="{00000000-0010-0000-0000-00004B000000}" name="Actif (bilan):Clients et comptes rattachés Net année N" dataDxfId="62"/>
    <tableColumn id="76" xr3:uid="{00000000-0010-0000-0000-00004C000000}" name="Actif (bilan):Clients et comptes rattachés Net année N-1" dataDxfId="61"/>
    <tableColumn id="77" xr3:uid="{00000000-0010-0000-0000-00004D000000}" name="Actif (bilan):Clients et comptes rattachés brut Année N"/>
    <tableColumn id="78" xr3:uid="{00000000-0010-0000-0000-00004E000000}" name="Actif (bilan):Concessions, brevets et droits similaires Amortissement année N"/>
    <tableColumn id="79" xr3:uid="{00000000-0010-0000-0000-00004F000000}" name="Actif (bilan):Concessions, brevets et droits similaires Net année N"/>
    <tableColumn id="80" xr3:uid="{00000000-0010-0000-0000-000050000000}" name="Actif (bilan):Concessions, brevets et droits similaires Net année N-1"/>
    <tableColumn id="81" xr3:uid="{00000000-0010-0000-0000-000051000000}" name="Actif (bilan):Concessions, brevets et droits similaires brut Année N"/>
    <tableColumn id="82" xr3:uid="{00000000-0010-0000-0000-000052000000}" name="Actif (bilan):Constructions Amortissement année N"/>
    <tableColumn id="83" xr3:uid="{00000000-0010-0000-0000-000053000000}" name="Actif (bilan):Constructions Net année N"/>
    <tableColumn id="84" xr3:uid="{00000000-0010-0000-0000-000054000000}" name="Actif (bilan):Constructions Net année N-1"/>
    <tableColumn id="85" xr3:uid="{00000000-0010-0000-0000-000055000000}" name="Actif (bilan):Constructions brut Année N"/>
    <tableColumn id="86" xr3:uid="{00000000-0010-0000-0000-000056000000}" name="Actif (bilan):Créances rattachées à des participations Amortissement année N"/>
    <tableColumn id="87" xr3:uid="{00000000-0010-0000-0000-000057000000}" name="Actif (bilan):Créances rattachées à des participations Net année N"/>
    <tableColumn id="88" xr3:uid="{00000000-0010-0000-0000-000058000000}" name="Actif (bilan):Créances rattachées à des participations Net année N-1"/>
    <tableColumn id="89" xr3:uid="{00000000-0010-0000-0000-000059000000}" name="Actif (bilan):Créances rattachées à des participations brut Année N"/>
    <tableColumn id="90" xr3:uid="{00000000-0010-0000-0000-00005A000000}" name="Actif (bilan):Différence de premiére consolidation Amortissement année N"/>
    <tableColumn id="91" xr3:uid="{00000000-0010-0000-0000-00005B000000}" name="Actif (bilan):Différence de premiére consolidation Net année N"/>
    <tableColumn id="92" xr3:uid="{00000000-0010-0000-0000-00005C000000}" name="Actif (bilan):Différence de premiére consolidation Net année N-1"/>
    <tableColumn id="93" xr3:uid="{00000000-0010-0000-0000-00005D000000}" name="Actif (bilan):Différence de premiére consolidation brut Année N"/>
    <tableColumn id="95" xr3:uid="{00000000-0010-0000-0000-00005F000000}" name="Actif (bilan):Disponibilités Amortissement année N"/>
    <tableColumn id="96" xr3:uid="{00000000-0010-0000-0000-000060000000}" name="Actif (bilan):Disponibilités Net année N"/>
    <tableColumn id="97" xr3:uid="{00000000-0010-0000-0000-000061000000}" name="Actif (bilan):Disponibilités Net année N-1"/>
    <tableColumn id="98" xr3:uid="{00000000-0010-0000-0000-000062000000}" name="Actif (bilan):Disponibilités brut Année N"/>
    <tableColumn id="99" xr3:uid="{00000000-0010-0000-0000-000063000000}" name="Actif (bilan):Ecarts de conversion actif (V) Net année N"/>
    <tableColumn id="100" xr3:uid="{00000000-0010-0000-0000-000064000000}" name="Actif (bilan):Ecarts de conversion actif (V) Net année N-1"/>
    <tableColumn id="101" xr3:uid="{00000000-0010-0000-0000-000065000000}" name="Actif (bilan):Ecarts de conversion actif (V) brut Année N"/>
    <tableColumn id="102" xr3:uid="{00000000-0010-0000-0000-000066000000}" name="Actif (bilan):Ecarts d'acquisition Amortissement année N"/>
    <tableColumn id="103" xr3:uid="{00000000-0010-0000-0000-000067000000}" name="Actif (bilan):Ecarts d'acquisition Net année N" dataDxfId="60"/>
    <tableColumn id="104" xr3:uid="{00000000-0010-0000-0000-000068000000}" name="Actif (bilan):Ecarts d'acquisition Net année N-1" dataDxfId="59"/>
    <tableColumn id="105" xr3:uid="{00000000-0010-0000-0000-000069000000}" name="Actif (bilan):Ecarts d'acquisition brut Année N"/>
    <tableColumn id="106" xr3:uid="{00000000-0010-0000-0000-00006A000000}" name="Actif (bilan):En cours de production de biens Amortissement année N"/>
    <tableColumn id="107" xr3:uid="{00000000-0010-0000-0000-00006B000000}" name="Actif (bilan):En cours de production de biens Net année N"/>
    <tableColumn id="108" xr3:uid="{00000000-0010-0000-0000-00006C000000}" name="Actif (bilan):En cours de production de biens Net année N-1"/>
    <tableColumn id="109" xr3:uid="{00000000-0010-0000-0000-00006D000000}" name="Actif (bilan):En cours de production de biens brut Année N"/>
    <tableColumn id="110" xr3:uid="{00000000-0010-0000-0000-00006E000000}" name="Actif (bilan):En cours de production de services Amortissement année N"/>
    <tableColumn id="111" xr3:uid="{00000000-0010-0000-0000-00006F000000}" name="Actif (bilan):En cours de production de services Net année N"/>
    <tableColumn id="112" xr3:uid="{00000000-0010-0000-0000-000070000000}" name="Actif (bilan):En cours de production de services Net année N-1"/>
    <tableColumn id="113" xr3:uid="{00000000-0010-0000-0000-000071000000}" name="Actif (bilan):En cours de production de services brut Année N"/>
    <tableColumn id="114" xr3:uid="{00000000-0010-0000-0000-000072000000}" name="Actif (bilan):Fonds commercial Amortissement année N"/>
    <tableColumn id="115" xr3:uid="{00000000-0010-0000-0000-000073000000}" name="Actif (bilan):Fonds commercial Net année N"/>
    <tableColumn id="116" xr3:uid="{00000000-0010-0000-0000-000074000000}" name="Actif (bilan):Fonds commercial Net année N-1"/>
    <tableColumn id="117" xr3:uid="{00000000-0010-0000-0000-000075000000}" name="Actif (bilan):Fonds commercial brut Année N"/>
    <tableColumn id="118" xr3:uid="{00000000-0010-0000-0000-000076000000}" name="Actif (bilan):Frais de développement ou de recherche et développement Amortissement année N"/>
    <tableColumn id="119" xr3:uid="{00000000-0010-0000-0000-000077000000}" name="Actif (bilan):Frais de développement ou de recherche et développement Net année N"/>
    <tableColumn id="120" xr3:uid="{00000000-0010-0000-0000-000078000000}" name="Actif (bilan):Frais de développement ou de recherche et développement Net année N-1"/>
    <tableColumn id="121" xr3:uid="{00000000-0010-0000-0000-000079000000}" name="Actif (bilan):Frais de développement ou de recherche et développement brut Année N"/>
    <tableColumn id="122" xr3:uid="{00000000-0010-0000-0000-00007A000000}" name="Actif (bilan):Frais d'établissement Amortissement année N"/>
    <tableColumn id="123" xr3:uid="{00000000-0010-0000-0000-00007B000000}" name="Actif (bilan):Frais d'établissement Net année N"/>
    <tableColumn id="124" xr3:uid="{00000000-0010-0000-0000-00007C000000}" name="Actif (bilan):Frais d'établissement Net année N-1"/>
    <tableColumn id="125" xr3:uid="{00000000-0010-0000-0000-00007D000000}" name="Actif (bilan):Frais d'établissement brut Année N"/>
    <tableColumn id="126" xr3:uid="{00000000-0010-0000-0000-00007E000000}" name="Actif (bilan):Immobilisations en cours Amortissement année N"/>
    <tableColumn id="127" xr3:uid="{00000000-0010-0000-0000-00007F000000}" name="Actif (bilan):Immobilisations en cours Net année N"/>
    <tableColumn id="128" xr3:uid="{00000000-0010-0000-0000-000080000000}" name="Actif (bilan):Immobilisations en cours Net année N-1"/>
    <tableColumn id="129" xr3:uid="{00000000-0010-0000-0000-000081000000}" name="Actif (bilan):Immobilisations en cours brut Année N"/>
    <tableColumn id="130" xr3:uid="{00000000-0010-0000-0000-000082000000}" name="Actif (bilan):Installations techniques, matériel et outillage industriels Amortissement année N"/>
    <tableColumn id="131" xr3:uid="{00000000-0010-0000-0000-000083000000}" name="Actif (bilan):Installations techniques, matériel et outillage industriels Net année N"/>
    <tableColumn id="132" xr3:uid="{00000000-0010-0000-0000-000084000000}" name="Actif (bilan):Installations techniques, matériel et outillage industriels Net année N-1"/>
    <tableColumn id="133" xr3:uid="{00000000-0010-0000-0000-000085000000}" name="Actif (bilan):Installations techniques, matériel et outillage industriels brut Année N"/>
    <tableColumn id="134" xr3:uid="{00000000-0010-0000-0000-000086000000}" name="Actif (bilan):Marchandises Amortissement année N"/>
    <tableColumn id="135" xr3:uid="{00000000-0010-0000-0000-000087000000}" name="Actif (bilan):Marchandises Net année N"/>
    <tableColumn id="136" xr3:uid="{00000000-0010-0000-0000-000088000000}" name="Actif (bilan):Marchandises Net année N-1"/>
    <tableColumn id="137" xr3:uid="{00000000-0010-0000-0000-000089000000}" name="Actif (bilan):Marchandises brut Année N"/>
    <tableColumn id="138" xr3:uid="{00000000-0010-0000-0000-00008A000000}" name="Actif (bilan):Matiéres premiéres, approvisionnements Amortissement année N"/>
    <tableColumn id="139" xr3:uid="{00000000-0010-0000-0000-00008B000000}" name="Actif (bilan):Matiéres premiéres, approvisionnements Net année N"/>
    <tableColumn id="140" xr3:uid="{00000000-0010-0000-0000-00008C000000}" name="Actif (bilan):Matiéres premiéres, approvisionnements Net année N-1"/>
    <tableColumn id="141" xr3:uid="{00000000-0010-0000-0000-00008D000000}" name="Actif (bilan):Matiéres premiéres, approvisionnements brut Année N"/>
    <tableColumn id="142" xr3:uid="{00000000-0010-0000-0000-00008E000000}" name="Actif (bilan):Participations évaluées - mise en équivalence Amortissement année N"/>
    <tableColumn id="143" xr3:uid="{00000000-0010-0000-0000-00008F000000}" name="Actif (bilan):Participations évaluées - mise en équivalence Net année N"/>
    <tableColumn id="144" xr3:uid="{00000000-0010-0000-0000-000090000000}" name="Actif (bilan):Participations évaluées - mise en équivalence Net année N-1"/>
    <tableColumn id="145" xr3:uid="{00000000-0010-0000-0000-000091000000}" name="Actif (bilan):Participations évaluées - mise en équivalence brut Année N"/>
    <tableColumn id="146" xr3:uid="{00000000-0010-0000-0000-000092000000}" name="Actif (bilan):Pré�ts Amortissement année N"/>
    <tableColumn id="147" xr3:uid="{00000000-0010-0000-0000-000093000000}" name="Actif (bilan):Pré�ts Net année N"/>
    <tableColumn id="148" xr3:uid="{00000000-0010-0000-0000-000094000000}" name="Actif (bilan):Pré�ts Net année N-1"/>
    <tableColumn id="149" xr3:uid="{00000000-0010-0000-0000-000095000000}" name="Actif (bilan):Pré�ts brut Année N"/>
    <tableColumn id="150" xr3:uid="{00000000-0010-0000-0000-000096000000}" name="Actif (bilan):Primes de remboursement des obligations (IV) Net année N"/>
    <tableColumn id="151" xr3:uid="{00000000-0010-0000-0000-000097000000}" name="Actif (bilan):Primes de remboursement des obligations (IV) Net année N-1"/>
    <tableColumn id="152" xr3:uid="{00000000-0010-0000-0000-000098000000}" name="Actif (bilan):Primes de remboursement des obligations (IV) brut Année N"/>
    <tableColumn id="153" xr3:uid="{00000000-0010-0000-0000-000099000000}" name="Actif (bilan):Produits intermédiaires et finis Amortissement année N"/>
    <tableColumn id="154" xr3:uid="{00000000-0010-0000-0000-00009A000000}" name="Actif (bilan):Produits intermédiaires et finis Net année N"/>
    <tableColumn id="155" xr3:uid="{00000000-0010-0000-0000-00009B000000}" name="Actif (bilan):Produits intermédiaires et finis Net année N-1"/>
    <tableColumn id="156" xr3:uid="{00000000-0010-0000-0000-00009C000000}" name="Actif (bilan):Produits intermédiaires et finis brut Année N"/>
    <tableColumn id="157" xr3:uid="{00000000-0010-0000-0000-00009D000000}" name="Actif (bilan):Sur valeurs - goodwill Amortissement année N"/>
    <tableColumn id="158" xr3:uid="{00000000-0010-0000-0000-00009E000000}" name="Actif (bilan):Sur valeurs - goodwill Net année N"/>
    <tableColumn id="94" xr3:uid="{00000000-0010-0000-0000-00005E000000}" name="Actif (bilan):Sur valeurs - goodwill Net année N-1"/>
    <tableColumn id="159" xr3:uid="{00000000-0010-0000-0000-00009F000000}" name="Actif (bilan):Sur valeurs - goodwill brut Année N"/>
    <tableColumn id="160" xr3:uid="{00000000-0010-0000-0000-0000A0000000}" name="Actif (bilan):TOTAL (I) Amortissement année N"/>
    <tableColumn id="161" xr3:uid="{00000000-0010-0000-0000-0000A1000000}" name="Actif (bilan):TOTAL (I) Net année N" dataDxfId="58"/>
    <tableColumn id="162" xr3:uid="{00000000-0010-0000-0000-0000A2000000}" name="Actif (bilan):TOTAL (I) Net année N-1" dataDxfId="57"/>
    <tableColumn id="163" xr3:uid="{00000000-0010-0000-0000-0000A3000000}" name="Actif (bilan):TOTAL (I) brut Année N"/>
    <tableColumn id="164" xr3:uid="{00000000-0010-0000-0000-0000A4000000}" name="Actif (bilan):TOTAL (II) Amortissement année N"/>
    <tableColumn id="165" xr3:uid="{00000000-0010-0000-0000-0000A5000000}" name="Actif (bilan):TOTAL (II) Net année N" dataDxfId="56"/>
    <tableColumn id="166" xr3:uid="{00000000-0010-0000-0000-0000A6000000}" name="Actif (bilan):TOTAL (II) Net année N-1" dataDxfId="55"/>
    <tableColumn id="167" xr3:uid="{00000000-0010-0000-0000-0000A7000000}" name="Actif (bilan):TOTAL (II) brut Année N"/>
    <tableColumn id="168" xr3:uid="{00000000-0010-0000-0000-0000A8000000}" name="Actif (bilan):TOTAL GENERAL (0 à V) Amortissement année N"/>
    <tableColumn id="169" xr3:uid="{00000000-0010-0000-0000-0000A9000000}" name="Actif (bilan):TOTAL GENERAL (0 à V) Net année N" dataDxfId="54"/>
    <tableColumn id="170" xr3:uid="{00000000-0010-0000-0000-0000AA000000}" name="Actif (bilan):TOTAL GENERAL (0 à V) Net année N-1" dataDxfId="53"/>
    <tableColumn id="171" xr3:uid="{00000000-0010-0000-0000-0000AB000000}" name="Actif (bilan):TOTAL GENERAL (0 à V) brut Année N"/>
    <tableColumn id="172" xr3:uid="{00000000-0010-0000-0000-0000AC000000}" name="Actif (bilan):Terrains Amortissement année N"/>
    <tableColumn id="173" xr3:uid="{00000000-0010-0000-0000-0000AD000000}" name="Actif (bilan):Terrains Net année N"/>
    <tableColumn id="174" xr3:uid="{00000000-0010-0000-0000-0000AE000000}" name="Actif (bilan):Terrains Net année N-1"/>
    <tableColumn id="175" xr3:uid="{00000000-0010-0000-0000-0000AF000000}" name="Actif (bilan):Terrains brut Année N"/>
    <tableColumn id="176" xr3:uid="{00000000-0010-0000-0000-0000B0000000}" name="Actif (bilan):Titres mis en équivalence Amortissement année N"/>
    <tableColumn id="177" xr3:uid="{00000000-0010-0000-0000-0000B1000000}" name="Actif (bilan):Titres mis en équivalence Net année N"/>
    <tableColumn id="178" xr3:uid="{00000000-0010-0000-0000-0000B2000000}" name="Actif (bilan):Titres mis en équivalence Net année N-1"/>
    <tableColumn id="179" xr3:uid="{00000000-0010-0000-0000-0000B3000000}" name="Actif (bilan):Titres mis en équivalence brut Année N"/>
    <tableColumn id="180" xr3:uid="{00000000-0010-0000-0000-0000B4000000}" name="Actif (bilan):Valeurs mobiliéres de placement Amortissement année N"/>
    <tableColumn id="181" xr3:uid="{00000000-0010-0000-0000-0000B5000000}" name="Actif (bilan):Valeurs mobiliéres de placement Net année N"/>
    <tableColumn id="182" xr3:uid="{00000000-0010-0000-0000-0000B6000000}" name="Actif (bilan):Valeurs mobiliéres de placement Net année N-1"/>
    <tableColumn id="183" xr3:uid="{00000000-0010-0000-0000-0000B7000000}" name="Actif (bilan):Valeurs mobiliéres de placement brut Année N"/>
    <tableColumn id="184" xr3:uid="{00000000-0010-0000-0000-0000B8000000}" name="Compte de résultat (suite):- RESULTAT EXCEPTIONNEL (VII - VIII) Année N"/>
    <tableColumn id="185" xr3:uid="{00000000-0010-0000-0000-0000B9000000}" name="Compte de résultat (suite):- RESULTAT EXCEPTIONNEL (VII - VIII) Année N-1"/>
    <tableColumn id="186" xr3:uid="{00000000-0010-0000-0000-0000BA000000}" name="Compte de résultat (suite):- RESULTAT NET AVANT AMORTISSEMENT DES ECARTS d'ACQUISITION Année N"/>
    <tableColumn id="187" xr3:uid="{00000000-0010-0000-0000-0000BB000000}" name="Compte de résultat (suite):- RESULTAT NET AVANT AMORTISSEMENT DES ECARTS d'ACQUISITION Année N-1"/>
    <tableColumn id="188" xr3:uid="{00000000-0010-0000-0000-0000BC000000}" name="Compte de résultat (suite):Charges exceptionnelles sur opérations de gestion Année N"/>
    <tableColumn id="189" xr3:uid="{00000000-0010-0000-0000-0000BD000000}" name="Compte de résultat (suite):Charges exceptionnelles sur opérations de gestion Année N-1"/>
    <tableColumn id="190" xr3:uid="{00000000-0010-0000-0000-0000BE000000}" name="Compte de résultat (suite):Charges exceptionnelles sur opérations en capital Année N"/>
    <tableColumn id="191" xr3:uid="{00000000-0010-0000-0000-0000BF000000}" name="Compte de résultat (suite):Charges exceptionnelles sur opérations en capital Année N-1"/>
    <tableColumn id="192" xr3:uid="{00000000-0010-0000-0000-0000C0000000}" name="Compte de résultat (suite):Dotation aux amortissements des écarts d'acquisition Année N"/>
    <tableColumn id="193" xr3:uid="{00000000-0010-0000-0000-0000C1000000}" name="Compte de résultat (suite):Dotation aux amortissements des écarts d'acquisition Année N-1"/>
    <tableColumn id="194" xr3:uid="{00000000-0010-0000-0000-0000C2000000}" name="Compte de résultat (suite):Dotations exceptionnelles aux amortissements et provisions Année N"/>
    <tableColumn id="195" xr3:uid="{00000000-0010-0000-0000-0000C3000000}" name="Compte de résultat (suite):Dotations exceptionnelles aux amortissements et provisions Année N-1"/>
    <tableColumn id="196" xr3:uid="{00000000-0010-0000-0000-0000C4000000}" name="Compte de résultat (suite):Impo��ts différés Année N"/>
    <tableColumn id="197" xr3:uid="{00000000-0010-0000-0000-0000C5000000}" name="Compte de résultat (suite):Impo��ts différés Année N-1"/>
    <tableColumn id="198" xr3:uid="{00000000-0010-0000-0000-0000C6000000}" name="Compte de résultat (suite):Impo��ts sur les bénéfices Année N"/>
    <tableColumn id="199" xr3:uid="{00000000-0010-0000-0000-0000C7000000}" name="Compte de résultat (suite):Impo��ts sur les bénéfices Année N-1"/>
    <tableColumn id="200" xr3:uid="{00000000-0010-0000-0000-0000C8000000}" name="Compte de résultat (suite):Part des intéré�ts minoritaires (Résultat hors groupe) Année N"/>
    <tableColumn id="201" xr3:uid="{00000000-0010-0000-0000-0000C9000000}" name="Compte de résultat (suite):Part des intéré�ts minoritaires (Résultat hors groupe) Année N-1"/>
    <tableColumn id="202" xr3:uid="{00000000-0010-0000-0000-0000CA000000}" name="Compte de résultat (suite):Participation des salariés aux résultats de l� entreprise Année N"/>
    <tableColumn id="203" xr3:uid="{00000000-0010-0000-0000-0000CB000000}" name="Compte de résultat (suite):Participation des salariés aux résultats de l� entreprise Année N-1"/>
    <tableColumn id="204" xr3:uid="{00000000-0010-0000-0000-0000CC000000}" name="Compte de résultat (suite):Produits exceptionnels sur opérations de gestion Année N"/>
    <tableColumn id="205" xr3:uid="{00000000-0010-0000-0000-0000CD000000}" name="Compte de résultat (suite):Produits exceptionnels sur opérations de gestion Année N-1"/>
    <tableColumn id="206" xr3:uid="{00000000-0010-0000-0000-0000CE000000}" name="Compte de résultat (suite):Produits exceptionnels sur opérations en capital Année N"/>
    <tableColumn id="207" xr3:uid="{00000000-0010-0000-0000-0000CF000000}" name="Compte de résultat (suite):Produits exceptionnels sur opérations en capital Année N-1"/>
    <tableColumn id="208" xr3:uid="{00000000-0010-0000-0000-0000D0000000}" name="Compte de résultat (suite):Renvois : Crédit-bail immobilier Année N"/>
    <tableColumn id="209" xr3:uid="{00000000-0010-0000-0000-0000D1000000}" name="Compte de résultat (suite):Renvois : Crédit-bail immobilier Année N-1"/>
    <tableColumn id="210" xr3:uid="{00000000-0010-0000-0000-0000D2000000}" name="Compte de résultat (suite):Renvois : Crédit-bail mobilier Année N"/>
    <tableColumn id="211" xr3:uid="{00000000-0010-0000-0000-0000D3000000}" name="Compte de résultat (suite):Renvois : Crédit-bail mobilier Année N-1"/>
    <tableColumn id="212" xr3:uid="{00000000-0010-0000-0000-0000D4000000}" name="Compte de résultat (suite):Reprises sur provisions et transferts de charges Année N"/>
    <tableColumn id="213" xr3:uid="{00000000-0010-0000-0000-0000D5000000}" name="Compte de résultat (suite):Reprises sur provisions et transferts de charges Année N-1"/>
    <tableColumn id="214" xr3:uid="{00000000-0010-0000-0000-0000D6000000}" name="Compte de résultat (suite):Résultat Groupe (Résultat net consolidé) Année N"/>
    <tableColumn id="215" xr3:uid="{00000000-0010-0000-0000-0000D7000000}" name="Compte de résultat (suite):Résultat Groupe (Résultat net consolidé) Année N-1"/>
    <tableColumn id="216" xr3:uid="{00000000-0010-0000-0000-0000D8000000}" name="Compte de résultat (suite):Résultat net des entreprises intégrées Année N"/>
    <tableColumn id="217" xr3:uid="{00000000-0010-0000-0000-0000D9000000}" name="Compte de résultat (suite):Résultat net des entreprises intégrées Année N-1"/>
    <tableColumn id="218" xr3:uid="{00000000-0010-0000-0000-0000DA000000}" name="Compte de résultat (suite):Résultat net des sociétés mises en équivalence Année N"/>
    <tableColumn id="219" xr3:uid="{00000000-0010-0000-0000-0000DB000000}" name="Compte de résultat (suite):Résultat net des sociétés mises en équivalence Année N-1"/>
    <tableColumn id="220" xr3:uid="{00000000-0010-0000-0000-0000DC000000}" name="Compte de résultat (suite):Résultat net part du groupe (part de la société mére) Année N" dataDxfId="52"/>
    <tableColumn id="221" xr3:uid="{00000000-0010-0000-0000-0000DD000000}" name="Compte de résultat (suite):Résultat net part du groupe (part de la société mére) Année N-1" dataDxfId="51"/>
    <tableColumn id="222" xr3:uid="{00000000-0010-0000-0000-0000DE000000}" name="Compte de résultat (suite):Total des charges exceptionnelles (VIII) Année N"/>
    <tableColumn id="223" xr3:uid="{00000000-0010-0000-0000-0000DF000000}" name="Compte de résultat (suite):Total des charges exceptionnelles (VIII) Année N-1"/>
    <tableColumn id="224" xr3:uid="{00000000-0010-0000-0000-0000E0000000}" name="Compte de résultat (suite):Total des produits exceptionnels (VII) Année N"/>
    <tableColumn id="225" xr3:uid="{00000000-0010-0000-0000-0000E1000000}" name="Compte de résultat (suite):Total des produits exceptionnels (VII) Année N-1"/>
    <tableColumn id="226" xr3:uid="{00000000-0010-0000-0000-0000E2000000}" name="Compte de résultat: Achats de marchandises (y compris droits de douane) Année N"/>
    <tableColumn id="227" xr3:uid="{00000000-0010-0000-0000-0000E3000000}" name="Compte de résultat: Achats de marchandises (y compris droits de douane) Année N-1"/>
    <tableColumn id="228" xr3:uid="{00000000-0010-0000-0000-0000E4000000}" name="Compte de résultat: Achats de matiéres premiéres et autres approvisionnements Année N"/>
    <tableColumn id="229" xr3:uid="{00000000-0010-0000-0000-0000E5000000}" name="Compte de résultat: Achats de matiéres premiéres et autres approvisionnements Année N-1"/>
    <tableColumn id="230" xr3:uid="{00000000-0010-0000-0000-0000E6000000}" name="Compte de résultat: Autres achats et charges externes Année N" dataDxfId="50"/>
    <tableColumn id="231" xr3:uid="{00000000-0010-0000-0000-0000E7000000}" name="Compte de résultat: Autres achats et charges externes Année N-1" dataDxfId="49"/>
    <tableColumn id="232" xr3:uid="{00000000-0010-0000-0000-0000E8000000}" name="Compte de résultat: Autres charges Année N"/>
    <tableColumn id="233" xr3:uid="{00000000-0010-0000-0000-0000E9000000}" name="Compte de résultat: Autres charges Année N-1"/>
    <tableColumn id="234" xr3:uid="{00000000-0010-0000-0000-0000EA000000}" name="Compte de résultat: Autres intéré�ts et produits assimilés Année N"/>
    <tableColumn id="235" xr3:uid="{00000000-0010-0000-0000-0000EB000000}" name="Compte de résultat: Autres intéré�ts et produits assimilés Année N-1"/>
    <tableColumn id="236" xr3:uid="{00000000-0010-0000-0000-0000EC000000}" name="Compte de résultat: Autres produits Année N" dataDxfId="48"/>
    <tableColumn id="237" xr3:uid="{00000000-0010-0000-0000-0000ED000000}" name="Compte de résultat: Autres produits Année N-1" dataDxfId="47"/>
    <tableColumn id="238" xr3:uid="{00000000-0010-0000-0000-0000EE000000}" name="Compte de résultat: Bénéfice attribué ou perte transférée (III) Année N"/>
    <tableColumn id="239" xr3:uid="{00000000-0010-0000-0000-0000EF000000}" name="Compte de résultat: Bénéfice attribué ou perte transférée (III) Année N-1"/>
    <tableColumn id="240" xr3:uid="{00000000-0010-0000-0000-0000F0000000}" name="Compte de résultat: Charges nettes sur cessions de valeurs mobiliéres de placement Année N"/>
    <tableColumn id="241" xr3:uid="{00000000-0010-0000-0000-0000F1000000}" name="Compte de résultat: Charges nettes sur cessions de valeurs mobiliéres de placement Année N-1"/>
    <tableColumn id="242" xr3:uid="{00000000-0010-0000-0000-0000F2000000}" name="Compte de résultat: Charges sociales Année N"/>
    <tableColumn id="243" xr3:uid="{00000000-0010-0000-0000-0000F3000000}" name="Compte de résultat: Charges sociales Année N-1"/>
    <tableColumn id="244" xr3:uid="{00000000-0010-0000-0000-0000F4000000}" name="Compte de résultat: Différences négatives de change Année N"/>
    <tableColumn id="245" xr3:uid="{00000000-0010-0000-0000-0000F5000000}" name="Compte de résultat: Différences négatives de change Année N-1"/>
    <tableColumn id="246" xr3:uid="{00000000-0010-0000-0000-0000F6000000}" name="Compte de résultat: Différences positives de change Année N"/>
    <tableColumn id="247" xr3:uid="{00000000-0010-0000-0000-0000F7000000}" name="Compte de résultat: Différences positives de change Année N-1"/>
    <tableColumn id="248" xr3:uid="{00000000-0010-0000-0000-0000F8000000}" name="Compte de résultat: Dot. d'exploit. - Dotations aux amortissements Année N" dataDxfId="46"/>
    <tableColumn id="249" xr3:uid="{00000000-0010-0000-0000-0000F9000000}" name="Compte de résultat: Dot. d'exploit. - Dotations aux amortissements Année N-1" dataDxfId="45"/>
    <tableColumn id="250" xr3:uid="{00000000-0010-0000-0000-0000FA000000}" name="Compte de résultat: Dot. d'exploit. - Dotations aux provisions Année N"/>
    <tableColumn id="251" xr3:uid="{00000000-0010-0000-0000-0000FB000000}" name="Compte de résultat: Dot. d'exploit. - Dotations aux provisions Année N-1"/>
    <tableColumn id="252" xr3:uid="{00000000-0010-0000-0000-0000FC000000}" name="Compte de résultat: Dot. d'exploit. Pour risques et charges : dotations aux provisions Année N"/>
    <tableColumn id="253" xr3:uid="{00000000-0010-0000-0000-0000FD000000}" name="Compte de résultat: Dot. d'exploit. Pour risques et charges : dotations aux provisions Année N-1"/>
    <tableColumn id="254" xr3:uid="{00000000-0010-0000-0000-0000FE000000}" name="Compte de résultat: Dot. d'exploit. Sur actif circulant : dotations aux provisions Année N"/>
    <tableColumn id="255" xr3:uid="{00000000-0010-0000-0000-0000FF000000}" name="Compte de résultat: Dot. d'exploit. Sur actif circulant : dotations aux provisions Année N-1"/>
    <tableColumn id="256" xr3:uid="{00000000-0010-0000-0000-000000010000}" name="Compte de résultat: Dotations financiéres sur amortissements et provisions Année N"/>
    <tableColumn id="257" xr3:uid="{00000000-0010-0000-0000-000001010000}" name="Compte de résultat: Dotations financiéres sur amortissements et provisions Année N-1"/>
    <tableColumn id="258" xr3:uid="{00000000-0010-0000-0000-000002010000}" name="Compte de résultat: Impo��ts, taxes et versements assimilés Année N" dataDxfId="44"/>
    <tableColumn id="259" xr3:uid="{00000000-0010-0000-0000-000003010000}" name="Compte de résultat: Impo��ts, taxes et versements assimilés Année N-1" dataDxfId="43"/>
    <tableColumn id="260" xr3:uid="{00000000-0010-0000-0000-000004010000}" name="Compte de résultat: Intéré�ts et charges assimilées Année N"/>
    <tableColumn id="261" xr3:uid="{00000000-0010-0000-0000-000005010000}" name="Compte de résultat: Intéré�ts et charges assimilées Année N-1"/>
    <tableColumn id="262" xr3:uid="{00000000-0010-0000-0000-000006010000}" name="Compte de résultat: Perte supportée ou bénéfice transféré (IV) Année N"/>
    <tableColumn id="263" xr3:uid="{00000000-0010-0000-0000-000007010000}" name="Compte de résultat: Perte supportée ou bénéfice transféré (IV) Année N-1"/>
    <tableColumn id="264" xr3:uid="{00000000-0010-0000-0000-000008010000}" name="Compte de résultat: Production immobilisée Année N"/>
    <tableColumn id="265" xr3:uid="{00000000-0010-0000-0000-000009010000}" name="Compte de résultat: Production immobilisée Année N-1"/>
    <tableColumn id="266" xr3:uid="{00000000-0010-0000-0000-00000A010000}" name="Compte de résultat: Production stockée Année N"/>
    <tableColumn id="267" xr3:uid="{00000000-0010-0000-0000-00000B010000}" name="Compte de résultat: Production stockée Année N-1"/>
    <tableColumn id="268" xr3:uid="{00000000-0010-0000-0000-00000C010000}" name="Compte de résultat: Produits des autres valeurs mobiliéres et créances de l� actif immobilisé Année N"/>
    <tableColumn id="269" xr3:uid="{00000000-0010-0000-0000-00000D010000}" name="Compte de résultat: Produits des autres valeurs mobiliéres et créances de l� actif immobilisé Année N-1"/>
    <tableColumn id="270" xr3:uid="{00000000-0010-0000-0000-00000E010000}" name="Compte de résultat: Produits financiers de participations Année N"/>
    <tableColumn id="271" xr3:uid="{00000000-0010-0000-0000-00000F010000}" name="Compte de résultat: Produits financiers de participations Année N-1"/>
    <tableColumn id="272" xr3:uid="{00000000-0010-0000-0000-000010010000}" name="Compte de résultat: Produits nets sur cessions de valeurs mobiliéres de placement Année N"/>
    <tableColumn id="273" xr3:uid="{00000000-0010-0000-0000-000011010000}" name="Compte de résultat: Produits nets sur cessions de valeurs mobiliéres de placement Année N-1"/>
    <tableColumn id="274" xr3:uid="{00000000-0010-0000-0000-000012010000}" name="Compte de résultat: RESULTAT COURANT AVANT IMPOTS (I - II + III - IV + V - VI) Année N" dataDxfId="42"/>
    <tableColumn id="275" xr3:uid="{00000000-0010-0000-0000-000013010000}" name="Compte de résultat: RESULTAT COURANT AVANT IMPOTS (I - II + III - IV + V - VI) Année N-1" dataDxfId="41"/>
    <tableColumn id="276" xr3:uid="{00000000-0010-0000-0000-000014010000}" name="Compte de résultat: RESULTAT d'EXPLOITATION (I - II) Année N" dataDxfId="40"/>
    <tableColumn id="277" xr3:uid="{00000000-0010-0000-0000-000015010000}" name="Compte de résultat: RESULTAT d'EXPLOITATION (I - II) Année N-1" dataDxfId="39"/>
    <tableColumn id="278" xr3:uid="{00000000-0010-0000-0000-000016010000}" name="Compte de résultat: RESULTAT FINANCIER (V - VI) Année N"/>
    <tableColumn id="279" xr3:uid="{00000000-0010-0000-0000-000017010000}" name="Compte de résultat: RESULTAT FINANCIER (V - VI) Année N-1"/>
    <tableColumn id="280" xr3:uid="{00000000-0010-0000-0000-000018010000}" name="Compte de résultat: Reprises sur amortissements et provisions, transfert de charges Année N"/>
    <tableColumn id="281" xr3:uid="{00000000-0010-0000-0000-000019010000}" name="Compte de résultat: Reprises sur amortissements et provisions, transfert de charges Année N-1"/>
    <tableColumn id="282" xr3:uid="{00000000-0010-0000-0000-00001A010000}" name="Compte de résultat: Reprises sur provisions et transferts de charges Année N"/>
    <tableColumn id="283" xr3:uid="{00000000-0010-0000-0000-00001B010000}" name="Compte de résultat: Reprises sur provisions et transferts de charges Année N-1"/>
    <tableColumn id="284" xr3:uid="{00000000-0010-0000-0000-00001C010000}" name="Compte de résultat: Salaires et traitements Année N"/>
    <tableColumn id="285" xr3:uid="{00000000-0010-0000-0000-00001D010000}" name="Compte de résultat: Salaires et traitements Année N-1"/>
    <tableColumn id="286" xr3:uid="{00000000-0010-0000-0000-00001E010000}" name="Compte de résultat: Subventions d'exploitation Année N"/>
    <tableColumn id="287" xr3:uid="{00000000-0010-0000-0000-00001F010000}" name="Compte de résultat: Subventions d'exploitation Année N-1"/>
    <tableColumn id="288" xr3:uid="{00000000-0010-0000-0000-000020010000}" name="Compte de résultat: Total des charges d'exploitation (II) Année N"/>
    <tableColumn id="289" xr3:uid="{00000000-0010-0000-0000-000021010000}" name="Compte de résultat: Total des charges d'exploitation (II) Année N-1"/>
    <tableColumn id="290" xr3:uid="{00000000-0010-0000-0000-000022010000}" name="Compte de résultat: Total des charges financiéres (VI) Année N"/>
    <tableColumn id="291" xr3:uid="{00000000-0010-0000-0000-000023010000}" name="Compte de résultat: Total des charges financiéres (VI) Année N-1"/>
    <tableColumn id="292" xr3:uid="{00000000-0010-0000-0000-000024010000}" name="Compte de résultat: Total des produits d'exploitation (I) Année N"/>
    <tableColumn id="293" xr3:uid="{00000000-0010-0000-0000-000025010000}" name="Compte de résultat: Total des produits d'exploitation (I) Année N-1"/>
    <tableColumn id="294" xr3:uid="{00000000-0010-0000-0000-000026010000}" name="Compte de résultat: Total des produits financiers (V) Année N"/>
    <tableColumn id="295" xr3:uid="{00000000-0010-0000-0000-000027010000}" name="Compte de résultat: Total des produits financiers (V) Année N-1"/>
    <tableColumn id="296" xr3:uid="{00000000-0010-0000-0000-000028010000}" name="Compte de résultat: Variation de stock (marchandises) Année N"/>
    <tableColumn id="297" xr3:uid="{00000000-0010-0000-0000-000029010000}" name="Compte de résultat: Variation de stock (marchandises) Année N-1"/>
    <tableColumn id="298" xr3:uid="{00000000-0010-0000-0000-00002A010000}" name="Compte de résultat: Variation de stock (matiéres premiéres et approvisionnements) Année N"/>
    <tableColumn id="299" xr3:uid="{00000000-0010-0000-0000-00002B010000}" name="Compte de résultat: Variation de stock (matiéres premiéres et approvisionnements) Année N-1"/>
    <tableColumn id="300" xr3:uid="{00000000-0010-0000-0000-00002C010000}" name="Compte de résultat:Chiffres d'affaires nets Export année N"/>
    <tableColumn id="301" xr3:uid="{00000000-0010-0000-0000-00002D010000}" name="Compte de résultat:Chiffres d'affaires nets France Année N"/>
    <tableColumn id="302" xr3:uid="{00000000-0010-0000-0000-00002E010000}" name="Compte de résultat:Chiffres d'affaires nets Total année N" dataDxfId="38"/>
    <tableColumn id="303" xr3:uid="{00000000-0010-0000-0000-00002F010000}" name="Compte de résultat:Chiffres d'affaires nets Total année N-1" dataDxfId="37"/>
    <tableColumn id="304" xr3:uid="{00000000-0010-0000-0000-000030010000}" name="Compte de résultat:Production vendue biens Export année N"/>
    <tableColumn id="305" xr3:uid="{00000000-0010-0000-0000-000031010000}" name="Compte de résultat:Production vendue biens France Année N"/>
    <tableColumn id="306" xr3:uid="{00000000-0010-0000-0000-000032010000}" name="Compte de résultat:Production vendue biens Total année N"/>
    <tableColumn id="307" xr3:uid="{00000000-0010-0000-0000-000033010000}" name="Compte de résultat:Production vendue biens Total année N-1"/>
    <tableColumn id="308" xr3:uid="{00000000-0010-0000-0000-000034010000}" name="Compte de résultat:Production vendue services Export année N"/>
    <tableColumn id="309" xr3:uid="{00000000-0010-0000-0000-000035010000}" name="Compte de résultat:Production vendue services France Année N"/>
    <tableColumn id="310" xr3:uid="{00000000-0010-0000-0000-000036010000}" name="Compte de résultat:Production vendue services Total année N"/>
    <tableColumn id="311" xr3:uid="{00000000-0010-0000-0000-000037010000}" name="Compte de résultat:Production vendue services Total année N-1"/>
    <tableColumn id="312" xr3:uid="{00000000-0010-0000-0000-000038010000}" name="Compte de résultat:Ventes de marchandises Export année N"/>
    <tableColumn id="313" xr3:uid="{00000000-0010-0000-0000-000039010000}" name="Compte de résultat:Ventes de marchandises France Année N"/>
    <tableColumn id="314" xr3:uid="{00000000-0010-0000-0000-00003A010000}" name="Compte de résultat:Ventes de marchandises Total année N"/>
    <tableColumn id="315" xr3:uid="{00000000-0010-0000-0000-00003B010000}" name="Compte de résultat:Ventes de marchandises Total année N-1"/>
    <tableColumn id="316" xr3:uid="{00000000-0010-0000-0000-00003C010000}" name="Passif (bilan): (V) Année N"/>
    <tableColumn id="317" xr3:uid="{00000000-0010-0000-0000-00003D010000}" name="Passif (bilan): (V) Année N-1"/>
    <tableColumn id="318" xr3:uid="{00000000-0010-0000-0000-00003E010000}" name="Passif (bilan):(dont écart d'équivalence) Année N"/>
    <tableColumn id="319" xr3:uid="{00000000-0010-0000-0000-00003F010000}" name="Passif (bilan):(dont écart d'équivalence) Année N-1"/>
    <tableColumn id="320" xr3:uid="{00000000-0010-0000-0000-000040010000}" name="Passif (bilan):Autres Année N"/>
    <tableColumn id="321" xr3:uid="{00000000-0010-0000-0000-000041010000}" name="Passif (bilan):Autres Année N-1"/>
    <tableColumn id="322" xr3:uid="{00000000-0010-0000-0000-000042010000}" name="Passif (bilan):Autres dettes Année N" dataDxfId="36"/>
    <tableColumn id="323" xr3:uid="{00000000-0010-0000-0000-000043010000}" name="Passif (bilan):Autres dettes Année N-1" dataDxfId="35"/>
    <tableColumn id="324" xr3:uid="{00000000-0010-0000-0000-000044010000}" name="Passif (bilan):Autres emprunts obligataires Année N"/>
    <tableColumn id="325" xr3:uid="{00000000-0010-0000-0000-000045010000}" name="Passif (bilan):Autres emprunts obligataires Année N-1"/>
    <tableColumn id="326" xr3:uid="{00000000-0010-0000-0000-000046010000}" name="Passif (bilan):Autres réserves Année N"/>
    <tableColumn id="327" xr3:uid="{00000000-0010-0000-0000-000047010000}" name="Passif (bilan):Autres réserves Année N-1"/>
    <tableColumn id="328" xr3:uid="{00000000-0010-0000-0000-000048010000}" name="Passif (bilan):Avances conditionnées Année N"/>
    <tableColumn id="329" xr3:uid="{00000000-0010-0000-0000-000049010000}" name="Passif (bilan):Avances conditionnées Année N-1"/>
    <tableColumn id="330" xr3:uid="{00000000-0010-0000-0000-00004A010000}" name="Passif (bilan):Avances et acomptes rec'�us sur commandes en cours Année N"/>
    <tableColumn id="331" xr3:uid="{00000000-0010-0000-0000-00004B010000}" name="Passif (bilan):Avances et acomptes rec'�us sur commandes en cours Année N-1"/>
    <tableColumn id="332" xr3:uid="{00000000-0010-0000-0000-00004C010000}" name="Passif (bilan):Capital social ou individuel Année N" dataDxfId="34"/>
    <tableColumn id="333" xr3:uid="{00000000-0010-0000-0000-00004D010000}" name="Passif (bilan):Capital social ou individuel Année N-1" dataDxfId="33"/>
    <tableColumn id="334" xr3:uid="{00000000-0010-0000-0000-00004E010000}" name="Passif (bilan):Dans les réserves Année N"/>
    <tableColumn id="335" xr3:uid="{00000000-0010-0000-0000-00004F010000}" name="Passif (bilan):Dans les réserves Année N-1"/>
    <tableColumn id="336" xr3:uid="{00000000-0010-0000-0000-000050010000}" name="Passif (bilan):Dans les résultats Année N"/>
    <tableColumn id="337" xr3:uid="{00000000-0010-0000-0000-000051010000}" name="Passif (bilan):Dans les résultats Année N-1"/>
    <tableColumn id="338" xr3:uid="{00000000-0010-0000-0000-000052010000}" name="Passif (bilan):Dettes et produits constatés d'avance à moins d'un an Année N"/>
    <tableColumn id="339" xr3:uid="{00000000-0010-0000-0000-000053010000}" name="Passif (bilan):Dettes et produits constatés d'avance à moins d'un an Année N-1"/>
    <tableColumn id="340" xr3:uid="{00000000-0010-0000-0000-000054010000}" name="Passif (bilan):Dettes fiscales et sociales Année N"/>
    <tableColumn id="341" xr3:uid="{00000000-0010-0000-0000-000055010000}" name="Passif (bilan):Dettes fiscales et sociales Année N-1"/>
    <tableColumn id="342" xr3:uid="{00000000-0010-0000-0000-000056010000}" name="Passif (bilan):Dettes fournisseurs et comptes rattachés Année N" dataDxfId="32"/>
    <tableColumn id="343" xr3:uid="{00000000-0010-0000-0000-000057010000}" name="Passif (bilan):Dettes fournisseurs et comptes rattachés Année N-1" dataDxfId="31"/>
    <tableColumn id="344" xr3:uid="{00000000-0010-0000-0000-000058010000}" name="Passif (bilan):Dettes sur immobilisations et comptes rattachés Année N"/>
    <tableColumn id="345" xr3:uid="{00000000-0010-0000-0000-000059010000}" name="Passif (bilan):Dettes sur immobilisations et comptes rattachés Année N-1"/>
    <tableColumn id="346" xr3:uid="{00000000-0010-0000-0000-00005A010000}" name="Passif (bilan):Dont concours bancaires courants, et soldes créditeurs de banques et C.C.P. Année N"/>
    <tableColumn id="347" xr3:uid="{00000000-0010-0000-0000-00005B010000}" name="Passif (bilan):Dont concours bancaires courants, et soldes créditeurs de banques et C.C.P. Année N-1"/>
    <tableColumn id="348" xr3:uid="{00000000-0010-0000-0000-00005C010000}" name="Passif (bilan):Dont emprunts participatifs Année N"/>
    <tableColumn id="349" xr3:uid="{00000000-0010-0000-0000-00005D010000}" name="Passif (bilan):Dont emprunts participatifs Année N-1"/>
    <tableColumn id="350" xr3:uid="{00000000-0010-0000-0000-00005E010000}" name="Passif (bilan):Dont réserve réglementée des plus-values à long terme Année N"/>
    <tableColumn id="351" xr3:uid="{00000000-0010-0000-0000-00005F010000}" name="Passif (bilan):Dont réserve réglementée des plus-values à long terme Année N-1"/>
    <tableColumn id="352" xr3:uid="{00000000-0010-0000-0000-000060010000}" name="Passif (bilan):Ecarts de conversion Année N"/>
    <tableColumn id="353" xr3:uid="{00000000-0010-0000-0000-000061010000}" name="Passif (bilan):Ecarts de conversion Année N-1"/>
    <tableColumn id="354" xr3:uid="{00000000-0010-0000-0000-000062010000}" name="Passif (bilan):Ecarts de réévaluation Année N"/>
    <tableColumn id="355" xr3:uid="{00000000-0010-0000-0000-000063010000}" name="Passif (bilan):Ecarts de réévaluation Année N-1"/>
    <tableColumn id="356" xr3:uid="{00000000-0010-0000-0000-000064010000}" name="Passif (bilan):Ecarts d'acquisition Année N"/>
    <tableColumn id="357" xr3:uid="{00000000-0010-0000-0000-000065010000}" name="Passif (bilan):Ecarts d'acquisition Année N-1"/>
    <tableColumn id="358" xr3:uid="{00000000-0010-0000-0000-000066010000}" name="Passif (bilan):Emprunts et dettes auprés des établissements de crédit (3) Année N"/>
    <tableColumn id="359" xr3:uid="{00000000-0010-0000-0000-000067010000}" name="Passif (bilan):Emprunts et dettes auprés des établissements de crédit (3) Année N-1"/>
    <tableColumn id="360" xr3:uid="{00000000-0010-0000-0000-000068010000}" name="Passif (bilan):Emprunts et dettes financiéres divers (4) Année N"/>
    <tableColumn id="361" xr3:uid="{00000000-0010-0000-0000-000069010000}" name="Passif (bilan):Emprunts et dettes financiéres divers (4) Année N-1"/>
    <tableColumn id="362" xr3:uid="{00000000-0010-0000-0000-00006A010000}" name="Passif (bilan):Emprunts obligataires convertibles Année N"/>
    <tableColumn id="363" xr3:uid="{00000000-0010-0000-0000-00006B010000}" name="Passif (bilan):Emprunts obligataires convertibles Année N-1"/>
    <tableColumn id="364" xr3:uid="{00000000-0010-0000-0000-00006C010000}" name="Passif (bilan):Impo��ts différés Année N"/>
    <tableColumn id="365" xr3:uid="{00000000-0010-0000-0000-00006D010000}" name="Passif (bilan):Impo��ts différés Année N-1"/>
    <tableColumn id="366" xr3:uid="{00000000-0010-0000-0000-00006E010000}" name="Passif (bilan):Primes d'émission, de fusion, d'apport Année N" dataDxfId="30"/>
    <tableColumn id="367" xr3:uid="{00000000-0010-0000-0000-00006F010000}" name="Passif (bilan):Primes d'émission, de fusion, d'apport Année N-1" dataDxfId="29"/>
    <tableColumn id="368" xr3:uid="{00000000-0010-0000-0000-000070010000}" name="Passif (bilan):Produit des émissions de titres participatifs Année N"/>
    <tableColumn id="369" xr3:uid="{00000000-0010-0000-0000-000071010000}" name="Passif (bilan):Produit des émissions de titres participatifs Année N-1"/>
    <tableColumn id="370" xr3:uid="{00000000-0010-0000-0000-000072010000}" name="Passif (bilan):Produits constatés d'avance (2) Année N"/>
    <tableColumn id="371" xr3:uid="{00000000-0010-0000-0000-000073010000}" name="Passif (bilan):Produits constatés d'avance (2) Année N-1"/>
    <tableColumn id="372" xr3:uid="{00000000-0010-0000-0000-000074010000}" name="Passif (bilan):Provisions pour charges Année N"/>
    <tableColumn id="373" xr3:uid="{00000000-0010-0000-0000-000075010000}" name="Passif (bilan):Provisions pour charges Année N-1"/>
    <tableColumn id="374" xr3:uid="{00000000-0010-0000-0000-000076010000}" name="Passif (bilan):Provisions pour risques Année N"/>
    <tableColumn id="375" xr3:uid="{00000000-0010-0000-0000-000077010000}" name="Passif (bilan):Provisions pour risques Année N-1"/>
    <tableColumn id="376" xr3:uid="{00000000-0010-0000-0000-000078010000}" name="Passif (bilan):Provisions réglementées Année N"/>
    <tableColumn id="377" xr3:uid="{00000000-0010-0000-0000-000079010000}" name="Passif (bilan):Provisions réglementées Année N-1"/>
    <tableColumn id="378" xr3:uid="{00000000-0010-0000-0000-00007A010000}" name="Passif (bilan):Report à nouveau Année N"/>
    <tableColumn id="379" xr3:uid="{00000000-0010-0000-0000-00007B010000}" name="Passif (bilan):Report à nouveau Année N-1"/>
    <tableColumn id="380" xr3:uid="{00000000-0010-0000-0000-00007C010000}" name="Passif (bilan):Réserve légale (1) Année N"/>
    <tableColumn id="381" xr3:uid="{00000000-0010-0000-0000-00007D010000}" name="Passif (bilan):Réserve légale (1) Année N-1"/>
    <tableColumn id="382" xr3:uid="{00000000-0010-0000-0000-00007E010000}" name="Passif (bilan):Réserves réglementées (1) Année N"/>
    <tableColumn id="383" xr3:uid="{00000000-0010-0000-0000-00007F010000}" name="Passif (bilan):Réserves réglementées (1) Année N-1"/>
    <tableColumn id="384" xr3:uid="{00000000-0010-0000-0000-000080010000}" name="Passif (bilan):Réserves statutaires ou contractuelles Année N"/>
    <tableColumn id="385" xr3:uid="{00000000-0010-0000-0000-000081010000}" name="Passif (bilan):Réserves statutaires ou contractuelles Année N-1"/>
    <tableColumn id="386" xr3:uid="{00000000-0010-0000-0000-000082010000}" name="Passif (bilan):Résultat consolidé part du groupe Année N" dataDxfId="28"/>
    <tableColumn id="387" xr3:uid="{00000000-0010-0000-0000-000083010000}" name="Passif (bilan):Résultat consolidé part du groupe Année N-1" dataDxfId="27"/>
    <tableColumn id="388" xr3:uid="{00000000-0010-0000-0000-000084010000}" name="Passif (bilan):Subventions d'investissement Année N"/>
    <tableColumn id="389" xr3:uid="{00000000-0010-0000-0000-000085010000}" name="Passif (bilan):Subventions d'investissement Année N-1"/>
    <tableColumn id="390" xr3:uid="{00000000-0010-0000-0000-000086010000}" name="Passif (bilan):TOTAL (I) Année N" dataDxfId="26"/>
    <tableColumn id="391" xr3:uid="{00000000-0010-0000-0000-000087010000}" name="Passif (bilan):TOTAL (I) Année N-1" dataDxfId="25"/>
    <tableColumn id="392" xr3:uid="{00000000-0010-0000-0000-000088010000}" name="Passif (bilan):TOTAL (II) Année N"/>
    <tableColumn id="393" xr3:uid="{00000000-0010-0000-0000-000089010000}" name="Passif (bilan):TOTAL (II) Année N-1"/>
    <tableColumn id="394" xr3:uid="{00000000-0010-0000-0000-00008A010000}" name="Passif (bilan):TOTAL (III) Année N"/>
    <tableColumn id="395" xr3:uid="{00000000-0010-0000-0000-00008B010000}" name="Passif (bilan):TOTAL (III) Année N-1"/>
    <tableColumn id="396" xr3:uid="{00000000-0010-0000-0000-00008C010000}" name="Passif (bilan):TOTAL (IV) Année N" dataDxfId="24"/>
    <tableColumn id="397" xr3:uid="{00000000-0010-0000-0000-00008D010000}" name="Passif (bilan):TOTAL (IV) Année N-1" dataDxfId="23"/>
    <tableColumn id="398" xr3:uid="{00000000-0010-0000-0000-00008E010000}" name="Passif (bilan):TOTAL GENERAL (I à V) Année N" dataDxfId="22"/>
    <tableColumn id="399" xr3:uid="{00000000-0010-0000-0000-00008F010000}" name="Passif (bilan):TOTAL GENERAL (I à V) Année N-1" dataDxfId="21"/>
    <tableColumn id="400" xr3:uid="{00000000-0010-0000-0000-000090010000}" name="CP VILLE" dataDxfId="20"/>
    <tableColumn id="401" xr3:uid="{00000000-0010-0000-0000-000091010000}" name="CODE NAF" dataDxfId="19"/>
    <tableColumn id="402" xr3:uid="{00000000-0010-0000-0000-000092010000}" name="Confidentialité" dataDxfId="18"/>
    <tableColumn id="403" xr3:uid="{00000000-0010-0000-0000-000093010000}" name="Code devise" dataDxfId="17"/>
    <tableColumn id="404" xr3:uid="{00000000-0010-0000-0000-000094010000}" name="code_greffe" dataDxfId="16"/>
    <tableColumn id="405" xr3:uid="{00000000-0010-0000-0000-000095010000}" name="code_motif" dataDxfId="15"/>
    <tableColumn id="406" xr3:uid="{00000000-0010-0000-0000-000096010000}" name="code_origine_devise" dataDxfId="14"/>
    <tableColumn id="407" xr3:uid="{00000000-0010-0000-0000-000097010000}" name="code_type_bilan" dataDxfId="13"/>
    <tableColumn id="408" xr3:uid="{00000000-0010-0000-0000-000098010000}" name="Date de cloture de l'exercice" dataDxfId="12"/>
    <tableColumn id="409" xr3:uid="{00000000-0010-0000-0000-000099010000}" name="Date de cloture de l'exercice n-1" dataDxfId="11"/>
    <tableColumn id="410" xr3:uid="{00000000-0010-0000-0000-00009A010000}" name="Date de dépôt" dataDxfId="10"/>
    <tableColumn id="411" xr3:uid="{00000000-0010-0000-0000-00009B010000}" name="Dénomination" dataDxfId="9"/>
    <tableColumn id="412" xr3:uid="{00000000-0010-0000-0000-00009C010000}" name="Durée de l'exercice n" dataDxfId="8"/>
    <tableColumn id="413" xr3:uid="{00000000-0010-0000-0000-00009D010000}" name="Durée de l'exercice n-1" dataDxfId="7"/>
    <tableColumn id="414" xr3:uid="{00000000-0010-0000-0000-00009E010000}" name="Numéro de dépôt" dataDxfId="6"/>
    <tableColumn id="415" xr3:uid="{00000000-0010-0000-0000-00009F010000}" name="Numéro de gestion" dataDxfId="5"/>
    <tableColumn id="416" xr3:uid="{00000000-0010-0000-0000-0000A0010000}" name="Siren" dataDxfId="4"/>
    <tableColumn id="417" xr3:uid="{00000000-0010-0000-0000-0000A1010000}" name="Tribunal de commerce" dataDxfId="3"/>
    <tableColumn id="418" xr3:uid="{00000000-0010-0000-0000-0000A2010000}" name="Etat saisie" dataDxfId="2"/>
    <tableColumn id="419" xr3:uid="{00000000-0010-0000-0000-0000A3010000}" name="Motif de non-saisie" dataDxfId="1"/>
    <tableColumn id="420" xr3:uid="{00000000-0010-0000-0000-0000A4010000}" name="Intitule NAF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ata.opendatasoft.com/explore/dataset/comptes-consolides%40public/tabl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6801A-012E-4FC6-86BA-9092D8F862AB}">
  <dimension ref="A1:P465"/>
  <sheetViews>
    <sheetView view="pageBreakPreview" zoomScale="130" zoomScaleNormal="100" zoomScaleSheetLayoutView="130" workbookViewId="0">
      <selection activeCell="B10" sqref="B10"/>
    </sheetView>
  </sheetViews>
  <sheetFormatPr baseColWidth="10" defaultRowHeight="12.75" x14ac:dyDescent="0.2"/>
  <cols>
    <col min="1" max="1" width="2.85546875" style="22" customWidth="1"/>
    <col min="2" max="2" width="31.28515625" style="22" customWidth="1"/>
    <col min="3" max="3" width="20.7109375" style="22" customWidth="1"/>
    <col min="4" max="4" width="11.85546875" style="22" customWidth="1"/>
    <col min="5" max="5" width="11.85546875" style="91" customWidth="1"/>
    <col min="6" max="6" width="13.42578125" style="70" bestFit="1" customWidth="1"/>
    <col min="7" max="7" width="13.140625" style="70" customWidth="1"/>
    <col min="8" max="8" width="11.42578125" style="21"/>
    <col min="9" max="11" width="0" style="7" hidden="1" customWidth="1"/>
    <col min="12" max="13" width="19.85546875" style="163" hidden="1" customWidth="1"/>
    <col min="14" max="14" width="18.140625" style="7" hidden="1" customWidth="1"/>
    <col min="15" max="15" width="60.85546875" style="82" hidden="1" customWidth="1"/>
    <col min="16" max="16" width="31.28515625" style="7" hidden="1" customWidth="1"/>
    <col min="17" max="16384" width="11.42578125" style="23"/>
  </cols>
  <sheetData>
    <row r="1" spans="1:16" s="92" customFormat="1" ht="11.25" customHeight="1" x14ac:dyDescent="0.2">
      <c r="A1" s="22"/>
      <c r="B1" s="22"/>
      <c r="C1" s="22"/>
      <c r="D1" s="22"/>
      <c r="E1" s="91"/>
      <c r="F1" s="70"/>
      <c r="G1" s="70"/>
      <c r="I1" s="7"/>
      <c r="J1" s="7"/>
      <c r="K1" s="7"/>
      <c r="L1" s="163"/>
      <c r="M1" s="163"/>
      <c r="N1" s="7"/>
      <c r="O1" s="82" t="s">
        <v>201</v>
      </c>
      <c r="P1" s="81" t="str">
        <f>INDEX(Calculs,$E$2,163)</f>
        <v>Actif (bilan):Valeurs mobiliéres de placement Net année N-1</v>
      </c>
    </row>
    <row r="2" spans="1:16" s="8" customFormat="1" ht="11.25" customHeight="1" thickBot="1" x14ac:dyDescent="0.25">
      <c r="A2" s="7"/>
      <c r="B2" s="7"/>
      <c r="C2" s="7"/>
      <c r="D2" s="7">
        <v>1</v>
      </c>
      <c r="E2" s="53">
        <v>1</v>
      </c>
      <c r="F2" s="65"/>
      <c r="G2" s="65"/>
      <c r="I2" s="7"/>
      <c r="J2" s="7"/>
      <c r="K2" s="7"/>
      <c r="L2" s="163"/>
      <c r="M2" s="163"/>
      <c r="N2" s="7"/>
      <c r="O2" s="82" t="s">
        <v>205</v>
      </c>
      <c r="P2" s="81" t="str">
        <f>INDEX(Calculs,$E$2,167)</f>
        <v>Compte de résultat (suite):- RESULTAT NET AVANT AMORTISSEMENT DES ECARTS d'ACQUISITION Année N</v>
      </c>
    </row>
    <row r="3" spans="1:16" s="92" customFormat="1" ht="15.75" thickBot="1" x14ac:dyDescent="0.25">
      <c r="A3" s="22"/>
      <c r="B3" s="34" t="str">
        <f>INDEX(Calculs,$E$2,1)</f>
        <v>Liste des agrégats disponibles</v>
      </c>
      <c r="C3" s="35"/>
      <c r="D3" s="35"/>
      <c r="E3" s="54"/>
      <c r="F3" s="66"/>
      <c r="G3" s="70"/>
      <c r="I3" s="7"/>
      <c r="J3" s="7"/>
      <c r="K3" s="7"/>
      <c r="L3" s="163"/>
      <c r="M3" s="163"/>
      <c r="N3" s="7"/>
      <c r="O3" s="82" t="s">
        <v>209</v>
      </c>
      <c r="P3" s="81" t="str">
        <f>INDEX(Calculs,$E$2,171)</f>
        <v>Compte de résultat (suite):Charges exceptionnelles sur opérations en capital Année N</v>
      </c>
    </row>
    <row r="4" spans="1:16" ht="6" customHeight="1" thickBot="1" x14ac:dyDescent="0.25"/>
    <row r="5" spans="1:16" ht="12" customHeight="1" thickBot="1" x14ac:dyDescent="0.25">
      <c r="B5" s="49"/>
      <c r="C5" s="88"/>
      <c r="D5" s="51"/>
      <c r="E5" s="88"/>
      <c r="F5" s="93"/>
      <c r="G5" s="93"/>
      <c r="O5" s="83" t="s">
        <v>13</v>
      </c>
      <c r="P5" s="80" t="s">
        <v>14</v>
      </c>
    </row>
    <row r="6" spans="1:16" ht="12" customHeight="1" x14ac:dyDescent="0.2">
      <c r="B6" s="49"/>
      <c r="C6" s="50"/>
      <c r="D6" s="52"/>
      <c r="E6" s="55"/>
      <c r="F6" s="93"/>
      <c r="G6" s="93"/>
      <c r="O6" s="84" t="str">
        <f>LISTE!A1</f>
        <v>N°RCS</v>
      </c>
      <c r="P6" s="81" t="str">
        <f>INDEX(Calculs,$E$2,1)</f>
        <v>Liste des agrégats disponibles</v>
      </c>
    </row>
    <row r="7" spans="1:16" ht="12" customHeight="1" x14ac:dyDescent="0.2">
      <c r="B7" s="49"/>
      <c r="C7" s="50"/>
      <c r="D7" s="50"/>
      <c r="E7" s="55"/>
      <c r="F7" s="93"/>
      <c r="G7" s="93"/>
      <c r="O7" s="84" t="str">
        <f>LISTE!B1</f>
        <v>NOM - DATE</v>
      </c>
      <c r="P7" s="81" t="str">
        <f>INDEX(Calculs,$E$2,2)</f>
        <v>Liste des agrégats disponibles</v>
      </c>
    </row>
    <row r="8" spans="1:16" ht="12" customHeight="1" x14ac:dyDescent="0.2">
      <c r="A8" s="94"/>
      <c r="B8" s="51"/>
      <c r="C8" s="50"/>
      <c r="D8" s="52"/>
      <c r="E8" s="95"/>
      <c r="F8" s="93"/>
      <c r="G8" s="93"/>
      <c r="O8" s="84" t="s">
        <v>2879</v>
      </c>
      <c r="P8" s="81" t="str">
        <f>INDEX(Calculs,$E$2,3)</f>
        <v>Actif (bilan): Parts à moins d'un an Brut</v>
      </c>
    </row>
    <row r="9" spans="1:16" ht="12" customHeight="1" x14ac:dyDescent="0.2">
      <c r="A9" s="94"/>
      <c r="B9" s="51"/>
      <c r="C9" s="87"/>
      <c r="D9" s="51"/>
      <c r="E9" s="23"/>
      <c r="F9" s="67"/>
      <c r="G9" s="96"/>
      <c r="O9" s="84" t="s">
        <v>2900</v>
      </c>
      <c r="P9" s="81" t="str">
        <f>INDEX(Calculs,$E$2,4)</f>
        <v>Actif (bilan): Parts à plus d'un an Brut</v>
      </c>
    </row>
    <row r="10" spans="1:16" ht="12" customHeight="1" x14ac:dyDescent="0.2">
      <c r="A10" s="94"/>
      <c r="B10" s="51"/>
      <c r="C10" s="87"/>
      <c r="D10" s="51"/>
      <c r="E10" s="51"/>
      <c r="F10" s="67"/>
      <c r="G10" s="96"/>
      <c r="O10" s="84"/>
      <c r="P10" s="81"/>
    </row>
    <row r="11" spans="1:16" ht="12" customHeight="1" x14ac:dyDescent="0.2">
      <c r="A11" s="94"/>
      <c r="B11" s="171"/>
      <c r="C11" s="87"/>
      <c r="D11" s="51"/>
      <c r="E11" s="51"/>
      <c r="F11" s="67"/>
      <c r="G11" s="96"/>
      <c r="O11" s="84"/>
      <c r="P11" s="81"/>
    </row>
    <row r="12" spans="1:16" ht="12" customHeight="1" x14ac:dyDescent="0.2">
      <c r="A12" s="94"/>
      <c r="B12" s="51"/>
      <c r="C12" s="87"/>
      <c r="D12" s="51"/>
      <c r="E12" s="51"/>
      <c r="F12" s="67"/>
      <c r="G12" s="96"/>
      <c r="O12" s="84"/>
      <c r="P12" s="81"/>
    </row>
    <row r="13" spans="1:16" ht="12" customHeight="1" thickBot="1" x14ac:dyDescent="0.25">
      <c r="A13" s="94"/>
      <c r="B13" s="51"/>
      <c r="C13" s="87"/>
      <c r="D13" s="51"/>
      <c r="E13" s="51"/>
      <c r="F13" s="67"/>
      <c r="G13" s="96"/>
      <c r="O13" s="84"/>
      <c r="P13" s="81"/>
    </row>
    <row r="14" spans="1:16" ht="12" customHeight="1" thickBot="1" x14ac:dyDescent="0.25">
      <c r="A14" s="94"/>
      <c r="B14" s="195" t="s">
        <v>3467</v>
      </c>
      <c r="C14" s="196"/>
      <c r="D14" s="196"/>
      <c r="E14" s="196"/>
      <c r="F14" s="196"/>
      <c r="G14" s="196"/>
      <c r="O14" s="84"/>
      <c r="P14" s="81"/>
    </row>
    <row r="15" spans="1:16" ht="12" customHeight="1" thickBot="1" x14ac:dyDescent="0.25">
      <c r="A15" s="94"/>
      <c r="B15" s="1"/>
      <c r="C15" s="87"/>
      <c r="D15" s="51"/>
      <c r="E15" s="51"/>
      <c r="F15" s="67"/>
      <c r="G15" s="96"/>
      <c r="O15" s="84"/>
      <c r="P15" s="81"/>
    </row>
    <row r="16" spans="1:16" ht="12" customHeight="1" thickBot="1" x14ac:dyDescent="0.25">
      <c r="A16" s="94"/>
      <c r="B16" s="172" t="s">
        <v>3449</v>
      </c>
      <c r="C16" s="182" t="str">
        <f>E41</f>
        <v>Date de cloture de l'exercice</v>
      </c>
      <c r="D16" s="182" t="str">
        <f>G41</f>
        <v>Date de cloture de l'exercice n-1</v>
      </c>
      <c r="E16" s="51"/>
      <c r="F16" s="67"/>
      <c r="G16" s="96"/>
      <c r="O16" s="84"/>
      <c r="P16" s="81"/>
    </row>
    <row r="17" spans="1:16" ht="12" customHeight="1" x14ac:dyDescent="0.2">
      <c r="A17" s="94"/>
      <c r="B17" s="173" t="s">
        <v>3452</v>
      </c>
      <c r="C17" s="183" t="str">
        <f>E42</f>
        <v>Durée de l'exercice n</v>
      </c>
      <c r="D17" s="184" t="str">
        <f>G42</f>
        <v>Durée de l'exercice n-1</v>
      </c>
      <c r="E17" s="51"/>
      <c r="F17" s="67"/>
      <c r="G17" s="96"/>
      <c r="O17" s="84"/>
      <c r="P17" s="81"/>
    </row>
    <row r="18" spans="1:16" ht="12" customHeight="1" x14ac:dyDescent="0.2">
      <c r="A18" s="94"/>
      <c r="B18" s="174" t="s">
        <v>3453</v>
      </c>
      <c r="C18" s="177">
        <f>SUM(C19:C21)</f>
        <v>0</v>
      </c>
      <c r="D18" s="177">
        <f>SUM(D19:D21)</f>
        <v>0</v>
      </c>
      <c r="E18" s="51"/>
      <c r="F18" s="67"/>
      <c r="G18" s="96"/>
      <c r="O18" s="84"/>
      <c r="P18" s="81"/>
    </row>
    <row r="19" spans="1:16" ht="12" customHeight="1" x14ac:dyDescent="0.2">
      <c r="A19" s="94"/>
      <c r="B19" s="175" t="s">
        <v>3454</v>
      </c>
      <c r="C19" s="178">
        <f>SUM(F50:F60)</f>
        <v>0</v>
      </c>
      <c r="D19" s="178">
        <f>SUM(G50:G60)</f>
        <v>0</v>
      </c>
      <c r="E19" s="51"/>
      <c r="F19" s="67"/>
      <c r="G19" s="96"/>
      <c r="O19" s="84"/>
      <c r="P19" s="81"/>
    </row>
    <row r="20" spans="1:16" ht="12" customHeight="1" x14ac:dyDescent="0.2">
      <c r="A20" s="94"/>
      <c r="B20" s="176" t="s">
        <v>3455</v>
      </c>
      <c r="C20" s="179">
        <f>SUM(F72:F82)</f>
        <v>0</v>
      </c>
      <c r="D20" s="179">
        <f>SUM(G72:G82)</f>
        <v>0</v>
      </c>
      <c r="E20" s="51"/>
      <c r="F20" s="67"/>
      <c r="G20" s="96"/>
      <c r="O20" s="84"/>
      <c r="P20" s="81"/>
    </row>
    <row r="21" spans="1:16" ht="12" customHeight="1" x14ac:dyDescent="0.2">
      <c r="A21" s="94"/>
      <c r="B21" s="175" t="s">
        <v>3456</v>
      </c>
      <c r="C21" s="178">
        <f>SUM(F86:F96)</f>
        <v>0</v>
      </c>
      <c r="D21" s="178">
        <f>SUM(G86:G96)</f>
        <v>0</v>
      </c>
      <c r="E21" s="51"/>
      <c r="F21" s="67"/>
      <c r="G21" s="96"/>
      <c r="O21" s="84"/>
      <c r="P21" s="81"/>
    </row>
    <row r="22" spans="1:16" ht="12" customHeight="1" x14ac:dyDescent="0.2">
      <c r="A22" s="94"/>
      <c r="B22" s="176" t="s">
        <v>3468</v>
      </c>
      <c r="C22" s="179" t="e">
        <f>SUM(F64:F68)+F100</f>
        <v>#VALUE!</v>
      </c>
      <c r="D22" s="179" t="e">
        <f>SUM(G64:G68)+G100</f>
        <v>#VALUE!</v>
      </c>
      <c r="E22" s="51"/>
      <c r="F22" s="67"/>
      <c r="G22" s="96"/>
      <c r="O22" s="84"/>
      <c r="P22" s="81"/>
    </row>
    <row r="23" spans="1:16" ht="12" customHeight="1" x14ac:dyDescent="0.2">
      <c r="A23" s="94"/>
      <c r="B23" s="174" t="s">
        <v>3457</v>
      </c>
      <c r="C23" s="177">
        <f>SUM(C24:C26)</f>
        <v>0</v>
      </c>
      <c r="D23" s="177">
        <f>SUM(D24:D26)</f>
        <v>0</v>
      </c>
      <c r="E23" s="51"/>
      <c r="F23" s="67"/>
      <c r="G23" s="96"/>
      <c r="O23" s="84"/>
      <c r="P23" s="81"/>
    </row>
    <row r="24" spans="1:16" ht="12" customHeight="1" x14ac:dyDescent="0.2">
      <c r="A24" s="94"/>
      <c r="B24" s="175" t="s">
        <v>3458</v>
      </c>
      <c r="C24" s="178">
        <f>SUM(F107:F115)</f>
        <v>0</v>
      </c>
      <c r="D24" s="178">
        <f>SUM(G107:G115)</f>
        <v>0</v>
      </c>
      <c r="E24" s="51"/>
      <c r="F24" s="67"/>
      <c r="G24" s="96"/>
      <c r="O24" s="84"/>
      <c r="P24" s="81"/>
    </row>
    <row r="25" spans="1:16" ht="12" customHeight="1" x14ac:dyDescent="0.2">
      <c r="A25" s="94"/>
      <c r="B25" s="176" t="s">
        <v>3459</v>
      </c>
      <c r="C25" s="179">
        <f>SUM(F119:F127)</f>
        <v>0</v>
      </c>
      <c r="D25" s="179">
        <f>SUM(G119:G127)</f>
        <v>0</v>
      </c>
      <c r="E25" s="51"/>
      <c r="F25" s="67"/>
      <c r="G25" s="96"/>
      <c r="O25" s="84"/>
      <c r="P25" s="81"/>
    </row>
    <row r="26" spans="1:16" ht="12" customHeight="1" thickBot="1" x14ac:dyDescent="0.25">
      <c r="A26" s="94"/>
      <c r="B26" s="175" t="s">
        <v>3460</v>
      </c>
      <c r="C26" s="178">
        <f>SUM(F128:F132)</f>
        <v>0</v>
      </c>
      <c r="D26" s="178">
        <f>SUM(G128:G132)</f>
        <v>0</v>
      </c>
      <c r="E26" s="51"/>
      <c r="F26" s="67"/>
      <c r="G26" s="96"/>
      <c r="O26" s="84"/>
      <c r="P26" s="81"/>
    </row>
    <row r="27" spans="1:16" ht="12" customHeight="1" x14ac:dyDescent="0.2">
      <c r="A27" s="94"/>
      <c r="B27" s="172" t="s">
        <v>3450</v>
      </c>
      <c r="C27" s="185" t="str">
        <f>C16</f>
        <v>Date de cloture de l'exercice</v>
      </c>
      <c r="D27" s="185" t="str">
        <f>D16</f>
        <v>Date de cloture de l'exercice n-1</v>
      </c>
      <c r="E27" s="51"/>
      <c r="F27" s="67"/>
      <c r="G27" s="96"/>
      <c r="O27" s="84"/>
      <c r="P27" s="81"/>
    </row>
    <row r="28" spans="1:16" ht="12" customHeight="1" x14ac:dyDescent="0.2">
      <c r="A28" s="94"/>
      <c r="B28" s="174" t="s">
        <v>3461</v>
      </c>
      <c r="C28" s="180">
        <f>SUM(C29:C30)</f>
        <v>0</v>
      </c>
      <c r="D28" s="180">
        <f>SUM(D29:D30)</f>
        <v>0</v>
      </c>
      <c r="E28" s="51"/>
      <c r="F28" s="67"/>
      <c r="G28" s="96"/>
      <c r="O28" s="84"/>
      <c r="P28" s="81"/>
    </row>
    <row r="29" spans="1:16" ht="12" customHeight="1" x14ac:dyDescent="0.2">
      <c r="A29" s="94"/>
      <c r="B29" s="175" t="s">
        <v>3462</v>
      </c>
      <c r="C29" s="178">
        <f>SUM(F152:F164)</f>
        <v>0</v>
      </c>
      <c r="D29" s="178">
        <f>SUM(G152:G164)</f>
        <v>0</v>
      </c>
      <c r="E29" s="51"/>
      <c r="F29" s="67"/>
      <c r="G29" s="96"/>
      <c r="O29" s="84"/>
      <c r="P29" s="81"/>
    </row>
    <row r="30" spans="1:16" ht="12" customHeight="1" x14ac:dyDescent="0.2">
      <c r="A30" s="94"/>
      <c r="B30" s="176" t="s">
        <v>3463</v>
      </c>
      <c r="C30" s="179">
        <f>SUM(F190:F193)</f>
        <v>0</v>
      </c>
      <c r="D30" s="179">
        <f>SUM(G190:G193)</f>
        <v>0</v>
      </c>
      <c r="E30" s="51"/>
      <c r="F30" s="67"/>
      <c r="G30" s="96"/>
      <c r="O30" s="84"/>
      <c r="P30" s="81"/>
    </row>
    <row r="31" spans="1:16" ht="12" customHeight="1" x14ac:dyDescent="0.2">
      <c r="A31" s="94"/>
      <c r="B31" s="175" t="s">
        <v>1672</v>
      </c>
      <c r="C31" s="178">
        <f>F178</f>
        <v>0</v>
      </c>
      <c r="D31" s="178">
        <f>G178</f>
        <v>0</v>
      </c>
      <c r="E31" s="51"/>
      <c r="F31" s="67"/>
      <c r="G31" s="96"/>
      <c r="O31" s="84"/>
      <c r="P31" s="81"/>
    </row>
    <row r="32" spans="1:16" ht="12" customHeight="1" x14ac:dyDescent="0.2">
      <c r="A32" s="94"/>
      <c r="B32" s="174" t="s">
        <v>3464</v>
      </c>
      <c r="C32" s="180">
        <f>SUM(C33:C34)</f>
        <v>0</v>
      </c>
      <c r="D32" s="180">
        <f>SUM(D33:D34)</f>
        <v>0</v>
      </c>
      <c r="E32" s="51"/>
      <c r="F32" s="67"/>
      <c r="G32" s="96"/>
      <c r="O32" s="84"/>
      <c r="P32" s="81"/>
    </row>
    <row r="33" spans="1:16" ht="12" customHeight="1" x14ac:dyDescent="0.2">
      <c r="A33" s="94"/>
      <c r="B33" s="175" t="s">
        <v>3465</v>
      </c>
      <c r="C33" s="178">
        <f>SUM(F196:F201)</f>
        <v>0</v>
      </c>
      <c r="D33" s="178">
        <f>SUM(G196:G201)</f>
        <v>0</v>
      </c>
      <c r="E33" s="51"/>
      <c r="F33" s="67"/>
      <c r="G33" s="96"/>
      <c r="O33" s="84"/>
      <c r="P33" s="81"/>
    </row>
    <row r="34" spans="1:16" ht="12" customHeight="1" x14ac:dyDescent="0.2">
      <c r="A34" s="94"/>
      <c r="B34" s="176" t="s">
        <v>3466</v>
      </c>
      <c r="C34" s="186">
        <f>SUM(F212:F220)</f>
        <v>0</v>
      </c>
      <c r="D34" s="181"/>
      <c r="E34" s="51"/>
      <c r="F34" s="67"/>
      <c r="G34" s="96"/>
      <c r="O34" s="84"/>
      <c r="P34" s="81"/>
    </row>
    <row r="35" spans="1:16" ht="12" customHeight="1" x14ac:dyDescent="0.2">
      <c r="A35" s="94"/>
      <c r="B35" s="51"/>
      <c r="C35" s="87"/>
      <c r="D35" s="51"/>
      <c r="E35" s="51"/>
      <c r="F35" s="67"/>
      <c r="G35" s="96"/>
      <c r="O35" s="84"/>
      <c r="P35" s="81"/>
    </row>
    <row r="36" spans="1:16" ht="12" customHeight="1" x14ac:dyDescent="0.2">
      <c r="A36" s="94"/>
      <c r="B36" s="51"/>
      <c r="C36" s="87"/>
      <c r="D36" s="51"/>
      <c r="E36" s="51"/>
      <c r="F36" s="67"/>
      <c r="G36" s="96"/>
      <c r="O36" s="84"/>
      <c r="P36" s="81"/>
    </row>
    <row r="37" spans="1:16" ht="12" customHeight="1" thickBot="1" x14ac:dyDescent="0.25">
      <c r="A37" s="94"/>
      <c r="B37" s="51"/>
      <c r="C37" s="87"/>
      <c r="D37" s="51"/>
      <c r="E37" s="51"/>
      <c r="F37" s="67"/>
      <c r="G37" s="96"/>
      <c r="O37" s="84"/>
      <c r="P37" s="81"/>
    </row>
    <row r="38" spans="1:16" ht="12" customHeight="1" thickBot="1" x14ac:dyDescent="0.25">
      <c r="A38" s="94"/>
      <c r="B38" s="195" t="s">
        <v>3478</v>
      </c>
      <c r="C38" s="196"/>
      <c r="D38" s="196"/>
      <c r="E38" s="196"/>
      <c r="F38" s="196"/>
      <c r="G38" s="196"/>
      <c r="O38" s="84"/>
      <c r="P38" s="81"/>
    </row>
    <row r="39" spans="1:16" ht="12" customHeight="1" x14ac:dyDescent="0.2">
      <c r="A39" s="94"/>
      <c r="B39" s="51"/>
      <c r="C39" s="87"/>
      <c r="D39" s="51"/>
      <c r="E39" s="23"/>
      <c r="F39" s="67"/>
      <c r="G39" s="96"/>
      <c r="O39" s="84"/>
      <c r="P39" s="81"/>
    </row>
    <row r="40" spans="1:16" ht="12" customHeight="1" x14ac:dyDescent="0.2">
      <c r="B40" s="61"/>
      <c r="C40" s="61"/>
      <c r="D40" s="97"/>
      <c r="E40" s="62" t="s">
        <v>1809</v>
      </c>
      <c r="F40" s="68" t="s">
        <v>1791</v>
      </c>
      <c r="G40" s="68" t="s">
        <v>1792</v>
      </c>
      <c r="O40" s="84" t="s">
        <v>2901</v>
      </c>
      <c r="P40" s="81" t="str">
        <f>INDEX(Calculs,$E$2,5)</f>
        <v>Actif (bilan):Autres créances Amortissement année N</v>
      </c>
    </row>
    <row r="41" spans="1:16" ht="12" customHeight="1" x14ac:dyDescent="0.2">
      <c r="B41" s="98"/>
      <c r="C41" s="98"/>
      <c r="D41" s="99" t="s">
        <v>1594</v>
      </c>
      <c r="E41" s="208" t="str">
        <f>INDEX(Calculs,$E$2,389)</f>
        <v>Date de cloture de l'exercice</v>
      </c>
      <c r="F41" s="209"/>
      <c r="G41" s="56" t="str">
        <f>INDEX(Calculs,$E$2,390)</f>
        <v>Date de cloture de l'exercice n-1</v>
      </c>
      <c r="O41" s="84" t="s">
        <v>2902</v>
      </c>
      <c r="P41" s="81" t="str">
        <f>INDEX(Calculs,$E$2,6)</f>
        <v>Actif (bilan):Autres créances Net année N</v>
      </c>
    </row>
    <row r="42" spans="1:16" ht="12" customHeight="1" thickBot="1" x14ac:dyDescent="0.25">
      <c r="B42" s="100"/>
      <c r="C42" s="100"/>
      <c r="D42" s="99" t="s">
        <v>1595</v>
      </c>
      <c r="E42" s="210" t="str">
        <f>INDEX(Calculs,$E$2,393)</f>
        <v>Durée de l'exercice n</v>
      </c>
      <c r="F42" s="211"/>
      <c r="G42" s="69" t="str">
        <f>INDEX(Calculs,$E$2,394)</f>
        <v>Durée de l'exercice n-1</v>
      </c>
      <c r="O42" s="84" t="s">
        <v>2903</v>
      </c>
      <c r="P42" s="7" t="str">
        <f>INDEX(Calculs,$E$2,7)</f>
        <v>Actif (bilan):Autres créances Net année N-1</v>
      </c>
    </row>
    <row r="43" spans="1:16" ht="12" customHeight="1" x14ac:dyDescent="0.2">
      <c r="B43" s="63"/>
      <c r="C43" s="63"/>
      <c r="D43" s="101" t="s">
        <v>1810</v>
      </c>
      <c r="E43" s="101" t="str">
        <f>INDEX(Calculs,$E$2,10)</f>
        <v>Actif (bilan):Autres immobilisations corporelles Net année N</v>
      </c>
      <c r="F43" s="102" t="str">
        <f>INDEX(Calculs,$E$2,10)</f>
        <v>Actif (bilan):Autres immobilisations corporelles Net année N</v>
      </c>
      <c r="G43" s="102" t="str">
        <f>INDEX(Calculs,$E$2,10)</f>
        <v>Actif (bilan):Autres immobilisations corporelles Net année N</v>
      </c>
      <c r="O43" s="84" t="s">
        <v>2904</v>
      </c>
      <c r="P43" s="7" t="str">
        <f>INDEX(Calculs,$E$2,8)</f>
        <v>Actif (bilan):Autres créances brut Année N</v>
      </c>
    </row>
    <row r="44" spans="1:16" ht="12" customHeight="1" x14ac:dyDescent="0.2">
      <c r="B44" s="38"/>
      <c r="C44" s="38"/>
      <c r="D44" s="103"/>
      <c r="E44" s="103"/>
      <c r="O44" s="84" t="s">
        <v>2905</v>
      </c>
      <c r="P44" s="81" t="str">
        <f>INDEX(Calculs,$E$2,9)</f>
        <v>Actif (bilan):Autres immobilisations corporelles Amortissement année N</v>
      </c>
    </row>
    <row r="45" spans="1:16" ht="12" customHeight="1" x14ac:dyDescent="0.2">
      <c r="B45" s="104" t="s">
        <v>1812</v>
      </c>
      <c r="C45" s="105"/>
      <c r="D45" s="106"/>
      <c r="E45" s="106" t="s">
        <v>1801</v>
      </c>
      <c r="F45" s="86" t="s">
        <v>1802</v>
      </c>
      <c r="G45" s="86" t="s">
        <v>1803</v>
      </c>
      <c r="I45" s="7" t="s">
        <v>3234</v>
      </c>
      <c r="J45" s="7" t="s">
        <v>3235</v>
      </c>
      <c r="K45" s="7" t="s">
        <v>3236</v>
      </c>
      <c r="O45" s="84" t="s">
        <v>2906</v>
      </c>
      <c r="P45" s="81" t="str">
        <f>INDEX(Calculs,$E$2,10)</f>
        <v>Actif (bilan):Autres immobilisations corporelles Net année N</v>
      </c>
    </row>
    <row r="46" spans="1:16" x14ac:dyDescent="0.2">
      <c r="B46" s="38"/>
      <c r="C46" s="38"/>
      <c r="D46" s="103"/>
      <c r="E46" s="103"/>
      <c r="O46" s="84" t="s">
        <v>2907</v>
      </c>
      <c r="P46" s="81" t="str">
        <f>INDEX(Calculs,$E$2,11)</f>
        <v>Actif (bilan):Autres immobilisations corporelles Net année N-1</v>
      </c>
    </row>
    <row r="47" spans="1:16" x14ac:dyDescent="0.2">
      <c r="B47" s="39" t="s">
        <v>1596</v>
      </c>
      <c r="C47" s="40"/>
      <c r="D47" s="89" t="s">
        <v>449</v>
      </c>
      <c r="E47" s="57" t="str">
        <f>INDEX(Calculs,$E$2,45)</f>
        <v>Actif (bilan):Capital souscrit non appelé Net année N</v>
      </c>
      <c r="F47" s="71" t="str">
        <f>INDEX(Calculs,$E$2,45)</f>
        <v>Actif (bilan):Capital souscrit non appelé Net année N</v>
      </c>
      <c r="G47" s="71" t="str">
        <f>INDEX(Calculs,$E$2,46)</f>
        <v>Actif (bilan):Capital souscrit non appelé Net année N-1</v>
      </c>
      <c r="I47" s="7" t="str">
        <f>D47</f>
        <v>AA</v>
      </c>
      <c r="K47" s="7" t="str">
        <f>D47&amp;"(N1)"</f>
        <v>AA(N1)</v>
      </c>
      <c r="L47" s="163" t="str">
        <f>IFERROR(VLOOKUP(D47,Transco!B:E,4,FALSE),"")</f>
        <v>=INDEX(Liste;$E$2;45)</v>
      </c>
      <c r="M47" s="7" t="str">
        <f>IFERROR(VLOOKUP(D47,Transco!B:E,4,FALSE),"")</f>
        <v>=INDEX(Liste;$E$2;45)</v>
      </c>
      <c r="N47" s="7" t="str">
        <f>IFERROR(VLOOKUP(K47,Transco!B:E,4,FALSE),"")</f>
        <v>=INDEX(Liste;$E$2;46)</v>
      </c>
      <c r="O47" s="84" t="s">
        <v>85</v>
      </c>
      <c r="P47" s="81" t="str">
        <f>INDEX(Calculs,$E$2,12)</f>
        <v>Actif (bilan):Autres immobilisations corporelles brut Année N</v>
      </c>
    </row>
    <row r="48" spans="1:16" x14ac:dyDescent="0.2">
      <c r="B48" s="42"/>
      <c r="C48" s="43"/>
      <c r="D48" s="148"/>
      <c r="E48" s="149"/>
      <c r="F48" s="74"/>
      <c r="G48" s="74"/>
      <c r="I48" s="7">
        <f t="shared" ref="I48:I111" si="0">D48</f>
        <v>0</v>
      </c>
      <c r="L48" s="163" t="str">
        <f>IFERROR(VLOOKUP(D48,Transco!B:E,4,FALSE),"")</f>
        <v/>
      </c>
      <c r="M48" s="7" t="str">
        <f>IFERROR(VLOOKUP(F48,Transco!B:E,4,FALSE),"")</f>
        <v/>
      </c>
      <c r="N48" s="7" t="str">
        <f>IFERROR(VLOOKUP(K48,Transco!B:E,4,FALSE),"")</f>
        <v/>
      </c>
      <c r="O48" s="84" t="s">
        <v>2908</v>
      </c>
      <c r="P48" s="81" t="str">
        <f>INDEX(Calculs,$E$2,13)</f>
        <v>Actif (bilan):Autres immobilisations financiéres Amortissement année N</v>
      </c>
    </row>
    <row r="49" spans="2:16" x14ac:dyDescent="0.2">
      <c r="B49" s="105" t="s">
        <v>1598</v>
      </c>
      <c r="C49" s="105"/>
      <c r="D49" s="107"/>
      <c r="E49" s="106"/>
      <c r="I49" s="7">
        <f t="shared" si="0"/>
        <v>0</v>
      </c>
      <c r="L49" s="163" t="str">
        <f>IFERROR(VLOOKUP(D49,Transco!B:E,4,FALSE),"")</f>
        <v/>
      </c>
      <c r="M49" s="7" t="str">
        <f>IFERROR(VLOOKUP(F49,Transco!B:E,4,FALSE),"")</f>
        <v/>
      </c>
      <c r="N49" s="7" t="str">
        <f>IFERROR(VLOOKUP(K49,Transco!B:E,4,FALSE),"")</f>
        <v/>
      </c>
      <c r="O49" s="84" t="s">
        <v>2909</v>
      </c>
      <c r="P49" s="81" t="str">
        <f>INDEX(Calculs,$E$2,14)</f>
        <v>Actif (bilan):Autres immobilisations financiéres Net année N</v>
      </c>
    </row>
    <row r="50" spans="2:16" x14ac:dyDescent="0.2">
      <c r="B50" s="39" t="s">
        <v>1599</v>
      </c>
      <c r="C50" s="40"/>
      <c r="D50" s="89" t="s">
        <v>504</v>
      </c>
      <c r="E50" s="57" t="str">
        <f>INDEX(Calculs,$E$2,105)</f>
        <v>Actif (bilan):Frais d'établissement brut Année N</v>
      </c>
      <c r="F50" s="71" t="str">
        <f>INDEX(Calculs,$E$2,103)</f>
        <v>Actif (bilan):Frais d'établissement Net année N</v>
      </c>
      <c r="G50" s="71" t="str">
        <f>INDEX(Calculs,$E$2,104)</f>
        <v>Actif (bilan):Frais d'établissement Net année N-1</v>
      </c>
      <c r="I50" s="7" t="str">
        <f t="shared" si="0"/>
        <v>AB</v>
      </c>
      <c r="J50" s="7" t="str">
        <f>D50&amp;"-"&amp;D51</f>
        <v>AB-AC</v>
      </c>
      <c r="K50" s="7" t="str">
        <f t="shared" ref="K50:K61" si="1">D50&amp;"(N1)"</f>
        <v>AB(N1)</v>
      </c>
      <c r="L50" s="163" t="str">
        <f>IFERROR(VLOOKUP(D50,Transco!B:E,4,FALSE),"")</f>
        <v>=INDEX(Liste;$E$2;105)</v>
      </c>
      <c r="M50" s="7" t="str">
        <f>IFERROR(VLOOKUP(J50,Transco!B:E,4,FALSE),"")</f>
        <v>=INDEX(Liste;$E$2;103)</v>
      </c>
      <c r="N50" s="7" t="str">
        <f>IFERROR(VLOOKUP(K50,Transco!B:E,4,FALSE),"")</f>
        <v>=INDEX(Liste;$E$2;104)</v>
      </c>
      <c r="O50" s="84" t="s">
        <v>2910</v>
      </c>
      <c r="P50" s="81" t="str">
        <f>INDEX(Calculs,$E$2,15)</f>
        <v>Actif (bilan):Autres immobilisations financiéres Net année N-1</v>
      </c>
    </row>
    <row r="51" spans="2:16" x14ac:dyDescent="0.2">
      <c r="B51" s="75" t="s">
        <v>1600</v>
      </c>
      <c r="C51" s="40"/>
      <c r="D51" s="89" t="s">
        <v>1601</v>
      </c>
      <c r="E51" s="57" t="str">
        <f>INDEX(Calculs,$E$2,102)</f>
        <v>Actif (bilan):Frais d'établissement Amortissement année N</v>
      </c>
      <c r="I51" s="7" t="str">
        <f t="shared" si="0"/>
        <v>AC</v>
      </c>
      <c r="K51" s="7" t="str">
        <f t="shared" si="1"/>
        <v>AC(N1)</v>
      </c>
      <c r="L51" s="163" t="str">
        <f>IFERROR(VLOOKUP(D51,Transco!B:E,4,FALSE),"")</f>
        <v>=INDEX(Liste;$E$2;102)</v>
      </c>
      <c r="M51" s="7" t="str">
        <f>IFERROR(VLOOKUP(J51,Transco!B:E,4,FALSE),"")</f>
        <v/>
      </c>
      <c r="N51" s="7" t="str">
        <f>IFERROR(VLOOKUP(K51,Transco!B:E,4,FALSE),"")</f>
        <v/>
      </c>
      <c r="O51" s="84" t="s">
        <v>2911</v>
      </c>
      <c r="P51" s="81" t="str">
        <f>INDEX(Calculs,$E$2,16)</f>
        <v>Actif (bilan):Autres immobilisations financiéres brut Année N</v>
      </c>
    </row>
    <row r="52" spans="2:16" x14ac:dyDescent="0.2">
      <c r="B52" s="39" t="s">
        <v>1602</v>
      </c>
      <c r="C52" s="40"/>
      <c r="D52" s="89" t="s">
        <v>502</v>
      </c>
      <c r="E52" s="57" t="str">
        <f>INDEX(Calculs,$E$2,101)</f>
        <v>Actif (bilan):Frais de développement ou de recherche et développement brut Année N</v>
      </c>
      <c r="F52" s="71" t="str">
        <f>INDEX(Calculs,$E$2,99)</f>
        <v>Actif (bilan):Frais de développement ou de recherche et développement Net année N</v>
      </c>
      <c r="G52" s="71" t="str">
        <f>INDEX(Calculs,$E$2,100)</f>
        <v>Actif (bilan):Frais de développement ou de recherche et développement Net année N-1</v>
      </c>
      <c r="I52" s="7" t="str">
        <f t="shared" si="0"/>
        <v>AD</v>
      </c>
      <c r="J52" s="7" t="str">
        <f>D52&amp;"-"&amp;D53</f>
        <v>AD-AE</v>
      </c>
      <c r="K52" s="7" t="str">
        <f t="shared" si="1"/>
        <v>AD(N1)</v>
      </c>
      <c r="L52" s="163" t="str">
        <f>IFERROR(VLOOKUP(D52,Transco!B:E,4,FALSE),"")</f>
        <v>=INDEX(Liste;$E$2;101)</v>
      </c>
      <c r="M52" s="7" t="str">
        <f>IFERROR(VLOOKUP(J52,Transco!B:E,4,FALSE),"")</f>
        <v>=INDEX(Liste;$E$2;99)</v>
      </c>
      <c r="N52" s="7" t="str">
        <f>IFERROR(VLOOKUP(K52,Transco!B:E,4,FALSE),"")</f>
        <v>=INDEX(Liste;$E$2;100)</v>
      </c>
      <c r="O52" s="84" t="s">
        <v>2912</v>
      </c>
      <c r="P52" s="81" t="str">
        <f>INDEX(Calculs,$E$2,17)</f>
        <v>Actif (bilan):Autres immobilisations incorporelles Amortissement année N</v>
      </c>
    </row>
    <row r="53" spans="2:16" x14ac:dyDescent="0.2">
      <c r="B53" s="75" t="s">
        <v>1600</v>
      </c>
      <c r="C53" s="40"/>
      <c r="D53" s="89" t="s">
        <v>499</v>
      </c>
      <c r="E53" s="57" t="str">
        <f>INDEX(Calculs,$E$2,98)</f>
        <v>Actif (bilan):Frais de développement ou de recherche et développement Amortissement année N</v>
      </c>
      <c r="I53" s="7" t="str">
        <f t="shared" si="0"/>
        <v>AE</v>
      </c>
      <c r="K53" s="7" t="str">
        <f t="shared" si="1"/>
        <v>AE(N1)</v>
      </c>
      <c r="L53" s="163" t="str">
        <f>IFERROR(VLOOKUP(D53,Transco!B:E,4,FALSE),"")</f>
        <v>=INDEX(Liste;$E$2;98)</v>
      </c>
      <c r="M53" s="7" t="str">
        <f>IFERROR(VLOOKUP(J53,Transco!B:E,4,FALSE),"")</f>
        <v/>
      </c>
      <c r="N53" s="7" t="str">
        <f>IFERROR(VLOOKUP(K53,Transco!B:E,4,FALSE),"")</f>
        <v/>
      </c>
      <c r="O53" s="84" t="s">
        <v>2913</v>
      </c>
      <c r="P53" s="81" t="str">
        <f>INDEX(Calculs,$E$2,18)</f>
        <v>Actif (bilan):Autres immobilisations incorporelles Net année N</v>
      </c>
    </row>
    <row r="54" spans="2:16" x14ac:dyDescent="0.2">
      <c r="B54" s="39" t="s">
        <v>1603</v>
      </c>
      <c r="C54" s="40"/>
      <c r="D54" s="89" t="s">
        <v>464</v>
      </c>
      <c r="E54" s="57" t="str">
        <f>INDEX(Calculs,$E$2,62)</f>
        <v>Actif (bilan):Concessions, brevets et droits similaires brut Année N</v>
      </c>
      <c r="F54" s="71" t="str">
        <f>INDEX(Calculs,$E$2,60)</f>
        <v>Actif (bilan):Concessions, brevets et droits similaires Net année N</v>
      </c>
      <c r="G54" s="71" t="str">
        <f>INDEX(Calculs,$E$2,61)</f>
        <v>Actif (bilan):Concessions, brevets et droits similaires Net année N-1</v>
      </c>
      <c r="I54" s="7" t="str">
        <f t="shared" si="0"/>
        <v>AF</v>
      </c>
      <c r="J54" s="7" t="str">
        <f>D54&amp;"-"&amp;D55</f>
        <v>AF-AG</v>
      </c>
      <c r="K54" s="7" t="str">
        <f t="shared" si="1"/>
        <v>AF(N1)</v>
      </c>
      <c r="L54" s="163" t="str">
        <f>IFERROR(VLOOKUP(D54,Transco!B:E,4,FALSE),"")</f>
        <v>=INDEX(Liste;$E$2;62)</v>
      </c>
      <c r="M54" s="7" t="str">
        <f>IFERROR(VLOOKUP(J54,Transco!B:E,4,FALSE),"")</f>
        <v>=INDEX(Liste;$E$2;60)</v>
      </c>
      <c r="N54" s="7" t="str">
        <f>IFERROR(VLOOKUP(K54,Transco!B:E,4,FALSE),"")</f>
        <v>=INDEX(Liste;$E$2;61)</v>
      </c>
      <c r="O54" s="84" t="s">
        <v>2914</v>
      </c>
      <c r="P54" s="81" t="str">
        <f>INDEX(Calculs,$E$2,19)</f>
        <v>Actif (bilan):Autres immobilisations incorporelles Net année N-1</v>
      </c>
    </row>
    <row r="55" spans="2:16" x14ac:dyDescent="0.2">
      <c r="B55" s="75" t="s">
        <v>1600</v>
      </c>
      <c r="C55" s="40"/>
      <c r="D55" s="89" t="s">
        <v>461</v>
      </c>
      <c r="E55" s="57" t="str">
        <f>INDEX(Calculs,$E$2,59)</f>
        <v>Actif (bilan):Concessions, brevets et droits similaires Amortissement année N</v>
      </c>
      <c r="I55" s="7" t="str">
        <f t="shared" si="0"/>
        <v>AG</v>
      </c>
      <c r="K55" s="7" t="str">
        <f t="shared" si="1"/>
        <v>AG(N1)</v>
      </c>
      <c r="L55" s="163" t="str">
        <f>IFERROR(VLOOKUP(D55,Transco!B:E,4,FALSE),"")</f>
        <v>=INDEX(Liste;$E$2;59)</v>
      </c>
      <c r="M55" s="7" t="str">
        <f>IFERROR(VLOOKUP(J55,Transco!B:E,4,FALSE),"")</f>
        <v/>
      </c>
      <c r="N55" s="7" t="str">
        <f>IFERROR(VLOOKUP(K55,Transco!B:E,4,FALSE),"")</f>
        <v/>
      </c>
      <c r="O55" s="84" t="s">
        <v>89</v>
      </c>
      <c r="P55" s="81" t="str">
        <f>INDEX(Calculs,$E$2,20)</f>
        <v>Actif (bilan):Autres immobilisations incorporelles brut Année N</v>
      </c>
    </row>
    <row r="56" spans="2:16" x14ac:dyDescent="0.2">
      <c r="B56" s="39" t="s">
        <v>1604</v>
      </c>
      <c r="C56" s="40"/>
      <c r="D56" s="89" t="s">
        <v>498</v>
      </c>
      <c r="E56" s="57" t="str">
        <f>INDEX(Calculs,$E$2,97)</f>
        <v>Actif (bilan):Fonds commercial brut Année N</v>
      </c>
      <c r="F56" s="71" t="str">
        <f>INDEX(Calculs,$E$2,95)</f>
        <v>Actif (bilan):Fonds commercial Net année N</v>
      </c>
      <c r="G56" s="71" t="str">
        <f>INDEX(Calculs,$E$2,96)</f>
        <v>Actif (bilan):Fonds commercial Net année N-1</v>
      </c>
      <c r="I56" s="7" t="str">
        <f t="shared" si="0"/>
        <v>AH</v>
      </c>
      <c r="J56" s="7" t="str">
        <f>D56&amp;"-"&amp;D57</f>
        <v>AH-AI</v>
      </c>
      <c r="K56" s="7" t="str">
        <f t="shared" si="1"/>
        <v>AH(N1)</v>
      </c>
      <c r="L56" s="163" t="str">
        <f>IFERROR(VLOOKUP(D56,Transco!B:E,4,FALSE),"")</f>
        <v>=INDEX(Liste;$E$2;97)</v>
      </c>
      <c r="M56" s="7" t="str">
        <f>IFERROR(VLOOKUP(J56,Transco!B:E,4,FALSE),"")</f>
        <v>=INDEX(Liste;$E$2;95)</v>
      </c>
      <c r="N56" s="7" t="str">
        <f>IFERROR(VLOOKUP(K56,Transco!B:E,4,FALSE),"")</f>
        <v>=INDEX(Liste;$E$2;96)</v>
      </c>
      <c r="O56" s="84" t="s">
        <v>2915</v>
      </c>
      <c r="P56" s="81" t="str">
        <f>INDEX(Calculs,$E$2,21)</f>
        <v>Actif (bilan):Autres participations Amortissement année N</v>
      </c>
    </row>
    <row r="57" spans="2:16" x14ac:dyDescent="0.2">
      <c r="B57" s="75" t="s">
        <v>1600</v>
      </c>
      <c r="C57" s="40"/>
      <c r="D57" s="89" t="s">
        <v>495</v>
      </c>
      <c r="E57" s="57" t="str">
        <f>INDEX(Calculs,$E$2,94)</f>
        <v>Actif (bilan):Fonds commercial Amortissement année N</v>
      </c>
      <c r="I57" s="7" t="str">
        <f t="shared" si="0"/>
        <v>AI</v>
      </c>
      <c r="K57" s="7" t="str">
        <f t="shared" si="1"/>
        <v>AI(N1)</v>
      </c>
      <c r="L57" s="163" t="str">
        <f>IFERROR(VLOOKUP(D57,Transco!B:E,4,FALSE),"")</f>
        <v>=INDEX(Liste;$E$2;94)</v>
      </c>
      <c r="M57" s="7" t="str">
        <f>IFERROR(VLOOKUP(J57,Transco!B:E,4,FALSE),"")</f>
        <v/>
      </c>
      <c r="N57" s="7" t="str">
        <f>IFERROR(VLOOKUP(K57,Transco!B:E,4,FALSE),"")</f>
        <v/>
      </c>
      <c r="O57" s="84" t="s">
        <v>2916</v>
      </c>
      <c r="P57" s="81" t="str">
        <f>INDEX(Calculs,$E$2,22)</f>
        <v>Actif (bilan):Autres participations Net année N</v>
      </c>
    </row>
    <row r="58" spans="2:16" x14ac:dyDescent="0.2">
      <c r="B58" s="39" t="s">
        <v>1605</v>
      </c>
      <c r="C58" s="40"/>
      <c r="D58" s="89" t="s">
        <v>424</v>
      </c>
      <c r="E58" s="57" t="str">
        <f>INDEX(Calculs,$E$2,20)</f>
        <v>Actif (bilan):Autres immobilisations incorporelles brut Année N</v>
      </c>
      <c r="F58" s="71" t="str">
        <f>INDEX(Calculs,$E$2,18)</f>
        <v>Actif (bilan):Autres immobilisations incorporelles Net année N</v>
      </c>
      <c r="G58" s="71" t="str">
        <f>INDEX(Calculs,$E$2,19)</f>
        <v>Actif (bilan):Autres immobilisations incorporelles Net année N-1</v>
      </c>
      <c r="I58" s="7" t="str">
        <f t="shared" si="0"/>
        <v>AJ</v>
      </c>
      <c r="J58" s="7" t="str">
        <f>D58&amp;"-"&amp;D59</f>
        <v>AJ-AK</v>
      </c>
      <c r="K58" s="7" t="str">
        <f t="shared" si="1"/>
        <v>AJ(N1)</v>
      </c>
      <c r="L58" s="163" t="str">
        <f>IFERROR(VLOOKUP(D58,Transco!B:E,4,FALSE),"")</f>
        <v>=INDEX(Liste;$E$2;20)</v>
      </c>
      <c r="M58" s="7" t="str">
        <f>IFERROR(VLOOKUP(J58,Transco!B:E,4,FALSE),"")</f>
        <v>=INDEX(Liste;$E$2;18)</v>
      </c>
      <c r="N58" s="7" t="str">
        <f>IFERROR(VLOOKUP(K58,Transco!B:E,4,FALSE),"")</f>
        <v>=INDEX(Liste;$E$2;19)</v>
      </c>
      <c r="O58" s="84" t="s">
        <v>2917</v>
      </c>
      <c r="P58" s="81" t="str">
        <f>INDEX(Calculs,$E$2,23)</f>
        <v>Actif (bilan):Autres participations Net année N-1</v>
      </c>
    </row>
    <row r="59" spans="2:16" x14ac:dyDescent="0.2">
      <c r="B59" s="75" t="s">
        <v>1600</v>
      </c>
      <c r="C59" s="40"/>
      <c r="D59" s="89" t="s">
        <v>421</v>
      </c>
      <c r="E59" s="57" t="str">
        <f>INDEX(Calculs,$E$2,17)</f>
        <v>Actif (bilan):Autres immobilisations incorporelles Amortissement année N</v>
      </c>
      <c r="I59" s="7" t="str">
        <f t="shared" si="0"/>
        <v>AK</v>
      </c>
      <c r="K59" s="7" t="str">
        <f t="shared" si="1"/>
        <v>AK(N1)</v>
      </c>
      <c r="L59" s="163" t="str">
        <f>IFERROR(VLOOKUP(D59,Transco!B:E,4,FALSE),"")</f>
        <v>=INDEX(Liste;$E$2;17)</v>
      </c>
      <c r="M59" s="7" t="str">
        <f>IFERROR(VLOOKUP(J59,Transco!B:E,4,FALSE),"")</f>
        <v/>
      </c>
      <c r="N59" s="7" t="str">
        <f>IFERROR(VLOOKUP(K59,Transco!B:E,4,FALSE),"")</f>
        <v/>
      </c>
      <c r="O59" s="84" t="s">
        <v>93</v>
      </c>
      <c r="P59" s="81" t="str">
        <f>INDEX(Calculs,$E$2,24)</f>
        <v>Actif (bilan):Autres participations brut Année N</v>
      </c>
    </row>
    <row r="60" spans="2:16" x14ac:dyDescent="0.2">
      <c r="B60" s="39" t="s">
        <v>1606</v>
      </c>
      <c r="C60" s="40"/>
      <c r="D60" s="89" t="s">
        <v>440</v>
      </c>
      <c r="E60" s="57" t="str">
        <f>INDEX(Calculs,$E$2,36)</f>
        <v>Actif (bilan):Avances et acomptes sur immobilisations incorporelles brut Année N</v>
      </c>
      <c r="F60" s="71" t="str">
        <f>INDEX(Calculs,$E$2,34)</f>
        <v>Actif (bilan):Avances et acomptes sur immobilisations incorporelles Net année N</v>
      </c>
      <c r="G60" s="71" t="str">
        <f>INDEX(Calculs,$E$2,35)</f>
        <v>Actif (bilan):Avances et acomptes sur immobilisations incorporelles Net année N-1</v>
      </c>
      <c r="I60" s="7" t="str">
        <f t="shared" si="0"/>
        <v>AL</v>
      </c>
      <c r="J60" s="7" t="str">
        <f>D60&amp;"-"&amp;D61</f>
        <v>AL-AM</v>
      </c>
      <c r="K60" s="7" t="str">
        <f t="shared" si="1"/>
        <v>AL(N1)</v>
      </c>
      <c r="L60" s="163" t="str">
        <f>IFERROR(VLOOKUP(D60,Transco!B:E,4,FALSE),"")</f>
        <v>=INDEX(Liste;$E$2;36)</v>
      </c>
      <c r="M60" s="7" t="str">
        <f>IFERROR(VLOOKUP(J60,Transco!B:E,4,FALSE),"")</f>
        <v>=INDEX(Liste;$E$2;34)</v>
      </c>
      <c r="N60" s="7" t="str">
        <f>IFERROR(VLOOKUP(K60,Transco!B:E,4,FALSE),"")</f>
        <v>=INDEX(Liste;$E$2;35)</v>
      </c>
      <c r="O60" s="84" t="s">
        <v>2918</v>
      </c>
      <c r="P60" s="81" t="str">
        <f>INDEX(Calculs,$E$2,25)</f>
        <v>Actif (bilan):Autres titres immobilisés Amortissement année N</v>
      </c>
    </row>
    <row r="61" spans="2:16" x14ac:dyDescent="0.2">
      <c r="B61" s="75" t="s">
        <v>1600</v>
      </c>
      <c r="C61" s="40"/>
      <c r="D61" s="89" t="s">
        <v>437</v>
      </c>
      <c r="E61" s="57" t="str">
        <f>INDEX(Calculs,$E$2,33)</f>
        <v>Actif (bilan):Avances et acomptes sur immobilisations incorporelles Amortissement année N</v>
      </c>
      <c r="I61" s="7" t="str">
        <f t="shared" si="0"/>
        <v>AM</v>
      </c>
      <c r="K61" s="7" t="str">
        <f t="shared" si="1"/>
        <v>AM(N1)</v>
      </c>
      <c r="L61" s="163" t="str">
        <f>IFERROR(VLOOKUP(D61,Transco!B:E,4,FALSE),"")</f>
        <v>=INDEX(Liste;$E$2;33)</v>
      </c>
      <c r="M61" s="7" t="str">
        <f>IFERROR(VLOOKUP(J61,Transco!B:E,4,FALSE),"")</f>
        <v/>
      </c>
      <c r="N61" s="7" t="str">
        <f>IFERROR(VLOOKUP(K61,Transco!B:E,4,FALSE),"")</f>
        <v/>
      </c>
      <c r="O61" s="84" t="s">
        <v>2919</v>
      </c>
      <c r="P61" s="81" t="str">
        <f>INDEX(Calculs,$E$2,26)</f>
        <v>Actif (bilan):Autres titres immobilisés Net année N</v>
      </c>
    </row>
    <row r="62" spans="2:16" x14ac:dyDescent="0.2">
      <c r="I62" s="7">
        <f t="shared" si="0"/>
        <v>0</v>
      </c>
      <c r="L62" s="163" t="str">
        <f>IFERROR(VLOOKUP(D62,Transco!B:E,4,FALSE),"")</f>
        <v/>
      </c>
      <c r="M62" s="7" t="str">
        <f>IFERROR(VLOOKUP(J62,Transco!B:E,4,FALSE),"")</f>
        <v/>
      </c>
      <c r="N62" s="7" t="str">
        <f>IFERROR(VLOOKUP(K62,Transco!B:E,4,FALSE),"")</f>
        <v/>
      </c>
      <c r="O62" s="84" t="s">
        <v>2920</v>
      </c>
      <c r="P62" s="81" t="str">
        <f>INDEX(Calculs,$E$2,27)</f>
        <v>Actif (bilan):Autres titres immobilisés Net année N-1</v>
      </c>
    </row>
    <row r="63" spans="2:16" x14ac:dyDescent="0.2">
      <c r="B63" s="105" t="s">
        <v>1607</v>
      </c>
      <c r="C63" s="38"/>
      <c r="D63" s="103"/>
      <c r="E63" s="103"/>
      <c r="I63" s="7">
        <f t="shared" si="0"/>
        <v>0</v>
      </c>
      <c r="L63" s="163" t="str">
        <f>IFERROR(VLOOKUP(D63,Transco!B:E,4,FALSE),"")</f>
        <v/>
      </c>
      <c r="M63" s="7" t="str">
        <f>IFERROR(VLOOKUP(J63,Transco!B:E,4,FALSE),"")</f>
        <v/>
      </c>
      <c r="N63" s="7" t="str">
        <f>IFERROR(VLOOKUP(K63,Transco!B:E,4,FALSE),"")</f>
        <v/>
      </c>
      <c r="O63" s="84" t="s">
        <v>2921</v>
      </c>
      <c r="P63" s="81" t="str">
        <f>INDEX(Calculs,$E$2,28)</f>
        <v>Actif (bilan):Autres titres immobilisés brut Année N</v>
      </c>
    </row>
    <row r="64" spans="2:16" x14ac:dyDescent="0.2">
      <c r="B64" s="108" t="s">
        <v>1608</v>
      </c>
      <c r="C64" s="40"/>
      <c r="D64" s="109" t="s">
        <v>486</v>
      </c>
      <c r="E64" s="57" t="str">
        <f>INDEX(Calculs,$E$2,85)</f>
        <v>Actif (bilan):Ecarts d'acquisition brut Année N</v>
      </c>
      <c r="F64" s="71" t="str">
        <f>INDEX(Calculs,$E$2,83)</f>
        <v>Actif (bilan):Ecarts d'acquisition Net année N</v>
      </c>
      <c r="G64" s="71" t="str">
        <f>INDEX(Calculs,$E$2,84)</f>
        <v>Actif (bilan):Ecarts d'acquisition Net année N-1</v>
      </c>
      <c r="I64" s="7" t="str">
        <f t="shared" si="0"/>
        <v>CO1AB</v>
      </c>
      <c r="J64" s="7" t="str">
        <f>D64&amp;"-"&amp;D65</f>
        <v>CO1AB-CO1AA</v>
      </c>
      <c r="K64" s="7" t="str">
        <f t="shared" ref="K64:K69" si="2">D64&amp;"(N1)"</f>
        <v>CO1AB(N1)</v>
      </c>
      <c r="L64" s="163" t="str">
        <f>IFERROR(VLOOKUP(D64,Transco!B:E,4,FALSE),"")</f>
        <v>=INDEX(Liste;$E$2;85)</v>
      </c>
      <c r="M64" s="7" t="str">
        <f>IFERROR(VLOOKUP(J64,Transco!B:E,4,FALSE),"")</f>
        <v>=INDEX(Liste;$E$2;83)</v>
      </c>
      <c r="N64" s="7" t="str">
        <f>IFERROR(VLOOKUP(K64,Transco!B:E,4,FALSE),"")</f>
        <v>=INDEX(Liste;$E$2;84)</v>
      </c>
      <c r="O64" s="84" t="s">
        <v>2922</v>
      </c>
      <c r="P64" s="81" t="str">
        <f>INDEX(Calculs,$E$2,29)</f>
        <v>Actif (bilan):Avances et acomptes Amortissement année N</v>
      </c>
    </row>
    <row r="65" spans="2:16" x14ac:dyDescent="0.2">
      <c r="B65" s="76" t="s">
        <v>1600</v>
      </c>
      <c r="C65" s="40"/>
      <c r="D65" s="109" t="s">
        <v>483</v>
      </c>
      <c r="E65" s="57" t="str">
        <f>INDEX(Calculs,$E$2,82)</f>
        <v>Actif (bilan):Ecarts d'acquisition Amortissement année N</v>
      </c>
      <c r="I65" s="7" t="str">
        <f t="shared" si="0"/>
        <v>CO1AA</v>
      </c>
      <c r="K65" s="7" t="str">
        <f t="shared" si="2"/>
        <v>CO1AA(N1)</v>
      </c>
      <c r="L65" s="163" t="str">
        <f>IFERROR(VLOOKUP(D65,Transco!B:E,4,FALSE),"")</f>
        <v>=INDEX(Liste;$E$2;82)</v>
      </c>
      <c r="M65" s="7" t="str">
        <f>IFERROR(VLOOKUP(J65,Transco!B:E,4,FALSE),"")</f>
        <v/>
      </c>
      <c r="N65" s="7" t="str">
        <f>IFERROR(VLOOKUP(K65,Transco!B:E,4,FALSE),"")</f>
        <v/>
      </c>
      <c r="O65" s="84" t="s">
        <v>2923</v>
      </c>
      <c r="P65" s="81" t="str">
        <f>INDEX(Calculs,$E$2,30)</f>
        <v>Actif (bilan):Avances et acomptes Net année N</v>
      </c>
    </row>
    <row r="66" spans="2:16" x14ac:dyDescent="0.2">
      <c r="B66" s="108" t="s">
        <v>1609</v>
      </c>
      <c r="C66" s="40"/>
      <c r="D66" s="109" t="s">
        <v>538</v>
      </c>
      <c r="E66" s="57" t="str">
        <f>INDEX(Calculs,$E$2,140)</f>
        <v>Actif (bilan):Sur valeurs - goodwill brut Année N</v>
      </c>
      <c r="F66" s="71" t="str">
        <f>INDEX(Calculs,$E$2,138)</f>
        <v>Actif (bilan):Sur valeurs - goodwill Net année N</v>
      </c>
      <c r="G66" s="71" t="str">
        <f>INDEX(Calculs,$E$2,139)</f>
        <v>Actif (bilan):Sur valeurs - goodwill Net année N-1</v>
      </c>
      <c r="I66" s="7" t="str">
        <f t="shared" si="0"/>
        <v>CO2AB</v>
      </c>
      <c r="J66" s="7" t="str">
        <f>D66&amp;"-"&amp;D67</f>
        <v>CO2AB-CO2AA</v>
      </c>
      <c r="K66" s="7" t="str">
        <f t="shared" si="2"/>
        <v>CO2AB(N1)</v>
      </c>
      <c r="L66" s="163" t="str">
        <f>IFERROR(VLOOKUP(D66,Transco!B:E,4,FALSE),"")</f>
        <v>=INDEX(Liste;$E$2;140)</v>
      </c>
      <c r="M66" s="7" t="str">
        <f>IFERROR(VLOOKUP(J66,Transco!B:E,4,FALSE),"")</f>
        <v>=INDEX(Liste;$E$2;138)</v>
      </c>
      <c r="N66" s="7" t="str">
        <f>IFERROR(VLOOKUP(K66,Transco!B:E,4,FALSE),"")</f>
        <v>=INDEX(Liste;$E$2;139)</v>
      </c>
      <c r="O66" s="84" t="s">
        <v>2924</v>
      </c>
      <c r="P66" s="81" t="str">
        <f>INDEX(Calculs,$E$2,31)</f>
        <v>Actif (bilan):Avances et acomptes Net année N-1</v>
      </c>
    </row>
    <row r="67" spans="2:16" x14ac:dyDescent="0.2">
      <c r="B67" s="76" t="s">
        <v>1610</v>
      </c>
      <c r="C67" s="40"/>
      <c r="D67" s="109" t="s">
        <v>535</v>
      </c>
      <c r="E67" s="57" t="str">
        <f>INDEX(Calculs,$E$2,137)</f>
        <v>Actif (bilan):Sur valeurs - goodwill Amortissement année N</v>
      </c>
      <c r="I67" s="7" t="str">
        <f t="shared" si="0"/>
        <v>CO2AA</v>
      </c>
      <c r="K67" s="7" t="str">
        <f t="shared" si="2"/>
        <v>CO2AA(N1)</v>
      </c>
      <c r="L67" s="163" t="str">
        <f>IFERROR(VLOOKUP(D67,Transco!B:E,4,FALSE),"")</f>
        <v>=INDEX(Liste;$E$2;137)</v>
      </c>
      <c r="M67" s="7" t="str">
        <f>IFERROR(VLOOKUP(J67,Transco!B:E,4,FALSE),"")</f>
        <v/>
      </c>
      <c r="N67" s="7" t="str">
        <f>IFERROR(VLOOKUP(K67,Transco!B:E,4,FALSE),"")</f>
        <v/>
      </c>
      <c r="O67" s="84" t="s">
        <v>101</v>
      </c>
      <c r="P67" s="81" t="str">
        <f>INDEX(Calculs,$E$2,32)</f>
        <v>Actif (bilan):Avances et acomptes brut Année N</v>
      </c>
    </row>
    <row r="68" spans="2:16" x14ac:dyDescent="0.2">
      <c r="B68" s="108" t="s">
        <v>1611</v>
      </c>
      <c r="C68" s="40"/>
      <c r="D68" s="109" t="s">
        <v>476</v>
      </c>
      <c r="E68" s="57" t="str">
        <f>INDEX(Calculs,$E$2,74)</f>
        <v>Actif (bilan):Différence de premiére consolidation brut Année N</v>
      </c>
      <c r="F68" s="71" t="str">
        <f>INDEX(Calculs,$E$2,72)</f>
        <v>Actif (bilan):Différence de premiére consolidation Net année N</v>
      </c>
      <c r="G68" s="71" t="str">
        <f>INDEX(Calculs,$E$2,73)</f>
        <v>Actif (bilan):Différence de premiére consolidation Net année N-1</v>
      </c>
      <c r="I68" s="7" t="str">
        <f t="shared" si="0"/>
        <v>CO3AB</v>
      </c>
      <c r="J68" s="7" t="str">
        <f>D68&amp;"-"&amp;D69</f>
        <v>CO3AB-CO3AA</v>
      </c>
      <c r="K68" s="7" t="str">
        <f t="shared" si="2"/>
        <v>CO3AB(N1)</v>
      </c>
      <c r="L68" s="163" t="str">
        <f>IFERROR(VLOOKUP(D68,Transco!B:E,4,FALSE),"")</f>
        <v>=INDEX(Liste;$E$2;74)</v>
      </c>
      <c r="M68" s="7" t="str">
        <f>IFERROR(VLOOKUP(J68,Transco!B:E,4,FALSE),"")</f>
        <v>=INDEX(Liste;$E$2;72)</v>
      </c>
      <c r="N68" s="7" t="str">
        <f>IFERROR(VLOOKUP(K68,Transco!B:E,4,FALSE),"")</f>
        <v>=INDEX(Liste;$E$2;73)</v>
      </c>
      <c r="O68" s="84" t="s">
        <v>2925</v>
      </c>
      <c r="P68" s="81" t="str">
        <f>INDEX(Calculs,$E$2,33)</f>
        <v>Actif (bilan):Avances et acomptes sur immobilisations incorporelles Amortissement année N</v>
      </c>
    </row>
    <row r="69" spans="2:16" x14ac:dyDescent="0.2">
      <c r="B69" s="76" t="s">
        <v>1610</v>
      </c>
      <c r="C69" s="40"/>
      <c r="D69" s="109" t="s">
        <v>473</v>
      </c>
      <c r="E69" s="57" t="str">
        <f>INDEX(Calculs,$E$2,71)</f>
        <v>Actif (bilan):Différence de premiére consolidation Amortissement année N</v>
      </c>
      <c r="I69" s="7" t="str">
        <f t="shared" si="0"/>
        <v>CO3AA</v>
      </c>
      <c r="K69" s="7" t="str">
        <f t="shared" si="2"/>
        <v>CO3AA(N1)</v>
      </c>
      <c r="L69" s="163" t="str">
        <f>IFERROR(VLOOKUP(D69,Transco!B:E,4,FALSE),"")</f>
        <v>=INDEX(Liste;$E$2;71)</v>
      </c>
      <c r="M69" s="7" t="str">
        <f>IFERROR(VLOOKUP(J69,Transco!B:E,4,FALSE),"")</f>
        <v/>
      </c>
      <c r="N69" s="7" t="str">
        <f>IFERROR(VLOOKUP(K69,Transco!B:E,4,FALSE),"")</f>
        <v/>
      </c>
      <c r="O69" s="84" t="s">
        <v>2926</v>
      </c>
      <c r="P69" s="81" t="str">
        <f>INDEX(Calculs,$E$2,34)</f>
        <v>Actif (bilan):Avances et acomptes sur immobilisations incorporelles Net année N</v>
      </c>
    </row>
    <row r="70" spans="2:16" x14ac:dyDescent="0.2">
      <c r="D70" s="1"/>
      <c r="I70" s="7">
        <f t="shared" si="0"/>
        <v>0</v>
      </c>
      <c r="L70" s="163" t="str">
        <f>IFERROR(VLOOKUP(D70,Transco!B:E,4,FALSE),"")</f>
        <v/>
      </c>
      <c r="M70" s="7" t="str">
        <f>IFERROR(VLOOKUP(J70,Transco!B:E,4,FALSE),"")</f>
        <v/>
      </c>
      <c r="N70" s="7" t="str">
        <f>IFERROR(VLOOKUP(K70,Transco!B:E,4,FALSE),"")</f>
        <v/>
      </c>
      <c r="O70" s="84" t="s">
        <v>2927</v>
      </c>
      <c r="P70" s="81" t="str">
        <f>INDEX(Calculs,$E$2,35)</f>
        <v>Actif (bilan):Avances et acomptes sur immobilisations incorporelles Net année N-1</v>
      </c>
    </row>
    <row r="71" spans="2:16" x14ac:dyDescent="0.2">
      <c r="B71" s="105" t="s">
        <v>1612</v>
      </c>
      <c r="C71" s="38"/>
      <c r="D71" s="90"/>
      <c r="E71" s="103"/>
      <c r="I71" s="7">
        <f t="shared" si="0"/>
        <v>0</v>
      </c>
      <c r="L71" s="163" t="str">
        <f>IFERROR(VLOOKUP(D71,Transco!B:E,4,FALSE),"")</f>
        <v/>
      </c>
      <c r="M71" s="7" t="str">
        <f>IFERROR(VLOOKUP(J71,Transco!B:E,4,FALSE),"")</f>
        <v/>
      </c>
      <c r="N71" s="7" t="str">
        <f>IFERROR(VLOOKUP(K71,Transco!B:E,4,FALSE),"")</f>
        <v/>
      </c>
      <c r="O71" s="84" t="s">
        <v>105</v>
      </c>
      <c r="P71" s="81" t="str">
        <f>INDEX(Calculs,$E$2,36)</f>
        <v>Actif (bilan):Avances et acomptes sur immobilisations incorporelles brut Année N</v>
      </c>
    </row>
    <row r="72" spans="2:16" x14ac:dyDescent="0.2">
      <c r="B72" s="39" t="s">
        <v>1613</v>
      </c>
      <c r="C72" s="40"/>
      <c r="D72" s="89" t="s">
        <v>552</v>
      </c>
      <c r="E72" s="57" t="str">
        <f>INDEX(Calculs,$E$2,156)</f>
        <v>Actif (bilan):Terrains brut Année N</v>
      </c>
      <c r="F72" s="71" t="str">
        <f>INDEX(Calculs,$E$2,154)</f>
        <v>Actif (bilan):Terrains Net année N</v>
      </c>
      <c r="G72" s="71" t="str">
        <f>INDEX(Calculs,$E$2,155)</f>
        <v>Actif (bilan):Terrains Net année N-1</v>
      </c>
      <c r="I72" s="7" t="str">
        <f t="shared" si="0"/>
        <v>AN</v>
      </c>
      <c r="J72" s="7" t="str">
        <f>D72&amp;"-"&amp;D73</f>
        <v>AN-AO</v>
      </c>
      <c r="K72" s="7" t="str">
        <f t="shared" ref="K72:K83" si="3">D72&amp;"(N1)"</f>
        <v>AN(N1)</v>
      </c>
      <c r="L72" s="163" t="str">
        <f>IFERROR(VLOOKUP(D72,Transco!B:E,4,FALSE),"")</f>
        <v>=INDEX(Liste;$E$2;156)</v>
      </c>
      <c r="M72" s="7" t="str">
        <f>IFERROR(VLOOKUP(J72,Transco!B:E,4,FALSE),"")</f>
        <v>=INDEX(Liste;$E$2;154)</v>
      </c>
      <c r="N72" s="7" t="str">
        <f>IFERROR(VLOOKUP(K72,Transco!B:E,4,FALSE),"")</f>
        <v>=INDEX(Liste;$E$2;155)</v>
      </c>
      <c r="O72" s="84" t="s">
        <v>2928</v>
      </c>
      <c r="P72" s="81" t="str">
        <f>INDEX(Calculs,$E$2,37)</f>
        <v>Actif (bilan):Avances et acomptes versés sur commandes Amortissement année N</v>
      </c>
    </row>
    <row r="73" spans="2:16" x14ac:dyDescent="0.2">
      <c r="B73" s="75" t="s">
        <v>1600</v>
      </c>
      <c r="C73" s="40"/>
      <c r="D73" s="89" t="s">
        <v>549</v>
      </c>
      <c r="E73" s="57" t="str">
        <f>INDEX(Calculs,$E$2,153)</f>
        <v>Actif (bilan):Terrains Amortissement année N</v>
      </c>
      <c r="I73" s="7" t="str">
        <f t="shared" si="0"/>
        <v>AO</v>
      </c>
      <c r="K73" s="7" t="str">
        <f t="shared" si="3"/>
        <v>AO(N1)</v>
      </c>
      <c r="L73" s="163" t="str">
        <f>IFERROR(VLOOKUP(D73,Transco!B:E,4,FALSE),"")</f>
        <v>=INDEX(Liste;$E$2;153)</v>
      </c>
      <c r="M73" s="7" t="str">
        <f>IFERROR(VLOOKUP(J73,Transco!B:E,4,FALSE),"")</f>
        <v/>
      </c>
      <c r="N73" s="7" t="str">
        <f>IFERROR(VLOOKUP(K73,Transco!B:E,4,FALSE),"")</f>
        <v/>
      </c>
      <c r="O73" s="84" t="s">
        <v>2929</v>
      </c>
      <c r="P73" s="81" t="str">
        <f>INDEX(Calculs,$E$2,38)</f>
        <v>Actif (bilan):Avances et acomptes versés sur commandes Net année N</v>
      </c>
    </row>
    <row r="74" spans="2:16" x14ac:dyDescent="0.2">
      <c r="B74" s="39" t="s">
        <v>1614</v>
      </c>
      <c r="C74" s="40"/>
      <c r="D74" s="89" t="s">
        <v>468</v>
      </c>
      <c r="E74" s="57" t="str">
        <f>INDEX(Calculs,$E$2,66)</f>
        <v>Actif (bilan):Constructions brut Année N</v>
      </c>
      <c r="F74" s="71" t="str">
        <f>INDEX(Calculs,$E$2,64)</f>
        <v>Actif (bilan):Constructions Net année N</v>
      </c>
      <c r="G74" s="71" t="str">
        <f>INDEX(Calculs,$E$2,65)</f>
        <v>Actif (bilan):Constructions Net année N-1</v>
      </c>
      <c r="I74" s="7" t="str">
        <f t="shared" si="0"/>
        <v>AP</v>
      </c>
      <c r="J74" s="7" t="str">
        <f>D74&amp;"-"&amp;D75</f>
        <v>AP-AQ</v>
      </c>
      <c r="K74" s="7" t="str">
        <f t="shared" si="3"/>
        <v>AP(N1)</v>
      </c>
      <c r="L74" s="163" t="str">
        <f>IFERROR(VLOOKUP(D74,Transco!B:E,4,FALSE),"")</f>
        <v>=INDEX(Liste;$E$2;66)</v>
      </c>
      <c r="M74" s="7" t="str">
        <f>IFERROR(VLOOKUP(J74,Transco!B:E,4,FALSE),"")</f>
        <v>=INDEX(Liste;$E$2;64)</v>
      </c>
      <c r="N74" s="7" t="str">
        <f>IFERROR(VLOOKUP(K74,Transco!B:E,4,FALSE),"")</f>
        <v>=INDEX(Liste;$E$2;65)</v>
      </c>
      <c r="O74" s="84" t="s">
        <v>2930</v>
      </c>
      <c r="P74" s="81" t="str">
        <f>INDEX(Calculs,$E$2,39)</f>
        <v>Actif (bilan):Avances et acomptes versés sur commandes Net année N-1</v>
      </c>
    </row>
    <row r="75" spans="2:16" x14ac:dyDescent="0.2">
      <c r="B75" s="75" t="s">
        <v>1600</v>
      </c>
      <c r="C75" s="40"/>
      <c r="D75" s="89" t="s">
        <v>465</v>
      </c>
      <c r="E75" s="57" t="str">
        <f>INDEX(Calculs,$E$2,63)</f>
        <v>Actif (bilan):Constructions Amortissement année N</v>
      </c>
      <c r="I75" s="7" t="str">
        <f t="shared" si="0"/>
        <v>AQ</v>
      </c>
      <c r="K75" s="7" t="str">
        <f t="shared" si="3"/>
        <v>AQ(N1)</v>
      </c>
      <c r="L75" s="163" t="str">
        <f>IFERROR(VLOOKUP(D75,Transco!B:E,4,FALSE),"")</f>
        <v>=INDEX(Liste;$E$2;63)</v>
      </c>
      <c r="M75" s="7" t="str">
        <f>IFERROR(VLOOKUP(J75,Transco!B:E,4,FALSE),"")</f>
        <v/>
      </c>
      <c r="N75" s="7" t="str">
        <f>IFERROR(VLOOKUP(K75,Transco!B:E,4,FALSE),"")</f>
        <v/>
      </c>
      <c r="O75" s="84" t="s">
        <v>2931</v>
      </c>
      <c r="P75" s="81" t="str">
        <f>INDEX(Calculs,$E$2,40)</f>
        <v>Actif (bilan):Avances et acomptes versés sur commandes brut Année N</v>
      </c>
    </row>
    <row r="76" spans="2:16" x14ac:dyDescent="0.2">
      <c r="B76" s="39" t="s">
        <v>1615</v>
      </c>
      <c r="C76" s="40"/>
      <c r="D76" s="89" t="s">
        <v>512</v>
      </c>
      <c r="E76" s="57" t="str">
        <f>INDEX(Calculs,$E$2,113)</f>
        <v>Actif (bilan):Installations techniques, matériel et outillage industriels brut Année N</v>
      </c>
      <c r="F76" s="71" t="str">
        <f>INDEX(Calculs,$E$2,111)</f>
        <v>Actif (bilan):Installations techniques, matériel et outillage industriels Net année N</v>
      </c>
      <c r="G76" s="71" t="str">
        <f>INDEX(Calculs,$E$2,112)</f>
        <v>Actif (bilan):Installations techniques, matériel et outillage industriels Net année N-1</v>
      </c>
      <c r="I76" s="7" t="str">
        <f t="shared" si="0"/>
        <v>AR</v>
      </c>
      <c r="J76" s="7" t="str">
        <f>D76&amp;"-"&amp;D77</f>
        <v>AR-AS</v>
      </c>
      <c r="K76" s="7" t="str">
        <f t="shared" si="3"/>
        <v>AR(N1)</v>
      </c>
      <c r="L76" s="163" t="str">
        <f>IFERROR(VLOOKUP(D76,Transco!B:E,4,FALSE),"")</f>
        <v>=INDEX(Liste;$E$2;113)</v>
      </c>
      <c r="M76" s="7" t="str">
        <f>IFERROR(VLOOKUP(J76,Transco!B:E,4,FALSE),"")</f>
        <v>=INDEX(Liste;$E$2;111)</v>
      </c>
      <c r="N76" s="7" t="str">
        <f>IFERROR(VLOOKUP(K76,Transco!B:E,4,FALSE),"")</f>
        <v>=INDEX(Liste;$E$2;112)</v>
      </c>
      <c r="O76" s="84" t="s">
        <v>2932</v>
      </c>
      <c r="P76" s="81" t="str">
        <f>INDEX(Calculs,$E$2,41)</f>
        <v>Actif (bilan):Capital souscrit et appelé, non versé Amortissement année N</v>
      </c>
    </row>
    <row r="77" spans="2:16" x14ac:dyDescent="0.2">
      <c r="B77" s="75" t="s">
        <v>1600</v>
      </c>
      <c r="C77" s="40"/>
      <c r="D77" s="89" t="s">
        <v>509</v>
      </c>
      <c r="E77" s="57" t="str">
        <f>INDEX(Calculs,$E$2,110)</f>
        <v>Actif (bilan):Installations techniques, matériel et outillage industriels Amortissement année N</v>
      </c>
      <c r="F77" s="71"/>
      <c r="G77" s="71"/>
      <c r="I77" s="7" t="str">
        <f t="shared" si="0"/>
        <v>AS</v>
      </c>
      <c r="K77" s="7" t="str">
        <f t="shared" si="3"/>
        <v>AS(N1)</v>
      </c>
      <c r="L77" s="163" t="str">
        <f>IFERROR(VLOOKUP(D77,Transco!B:E,4,FALSE),"")</f>
        <v>=INDEX(Liste;$E$2;110)</v>
      </c>
      <c r="M77" s="7" t="str">
        <f>IFERROR(VLOOKUP(J77,Transco!B:E,4,FALSE),"")</f>
        <v/>
      </c>
      <c r="N77" s="7" t="str">
        <f>IFERROR(VLOOKUP(K77,Transco!B:E,4,FALSE),"")</f>
        <v/>
      </c>
      <c r="O77" s="84" t="s">
        <v>2933</v>
      </c>
      <c r="P77" s="81" t="str">
        <f>INDEX(Calculs,$E$2,42)</f>
        <v>Actif (bilan):Capital souscrit et appelé, non versé Net année N</v>
      </c>
    </row>
    <row r="78" spans="2:16" x14ac:dyDescent="0.2">
      <c r="B78" s="39" t="s">
        <v>1616</v>
      </c>
      <c r="C78" s="40"/>
      <c r="D78" s="89" t="s">
        <v>416</v>
      </c>
      <c r="E78" s="57" t="str">
        <f>INDEX(Calculs,$E$2,12)</f>
        <v>Actif (bilan):Autres immobilisations corporelles brut Année N</v>
      </c>
      <c r="F78" s="70" t="str">
        <f>INDEX(Calculs,$E$2,10)</f>
        <v>Actif (bilan):Autres immobilisations corporelles Net année N</v>
      </c>
      <c r="G78" s="70" t="str">
        <f>INDEX(Calculs,$E$2,11)</f>
        <v>Actif (bilan):Autres immobilisations corporelles Net année N-1</v>
      </c>
      <c r="I78" s="7" t="str">
        <f t="shared" si="0"/>
        <v>AT</v>
      </c>
      <c r="J78" s="7" t="str">
        <f>D78&amp;"-"&amp;D79</f>
        <v>AT-AU</v>
      </c>
      <c r="K78" s="7" t="str">
        <f t="shared" si="3"/>
        <v>AT(N1)</v>
      </c>
      <c r="L78" s="163" t="str">
        <f>IFERROR(VLOOKUP(D78,Transco!B:E,4,FALSE),"")</f>
        <v>=INDEX(Liste;$E$2;12)</v>
      </c>
      <c r="M78" s="7" t="str">
        <f>IFERROR(VLOOKUP(J78,Transco!B:E,4,FALSE),"")</f>
        <v>=INDEX(Liste;$E$2;10)</v>
      </c>
      <c r="N78" s="7" t="str">
        <f>IFERROR(VLOOKUP(K78,Transco!B:E,4,FALSE),"")</f>
        <v>=INDEX(Liste;$E$2;11)</v>
      </c>
      <c r="O78" s="84" t="s">
        <v>2934</v>
      </c>
      <c r="P78" s="81" t="str">
        <f>INDEX(Calculs,$E$2,43)</f>
        <v>Actif (bilan):Capital souscrit et appelé, non versé Net année N-1</v>
      </c>
    </row>
    <row r="79" spans="2:16" x14ac:dyDescent="0.2">
      <c r="B79" s="75" t="s">
        <v>1600</v>
      </c>
      <c r="C79" s="40"/>
      <c r="D79" s="89" t="s">
        <v>413</v>
      </c>
      <c r="E79" s="57" t="str">
        <f>INDEX(Calculs,$E$2,9)</f>
        <v>Actif (bilan):Autres immobilisations corporelles Amortissement année N</v>
      </c>
      <c r="F79" s="71"/>
      <c r="G79" s="71"/>
      <c r="I79" s="7" t="str">
        <f t="shared" si="0"/>
        <v>AU</v>
      </c>
      <c r="K79" s="7" t="str">
        <f t="shared" si="3"/>
        <v>AU(N1)</v>
      </c>
      <c r="L79" s="163" t="str">
        <f>IFERROR(VLOOKUP(D79,Transco!B:E,4,FALSE),"")</f>
        <v>=INDEX(Liste;$E$2;9)</v>
      </c>
      <c r="M79" s="7" t="str">
        <f>IFERROR(VLOOKUP(J79,Transco!B:E,4,FALSE),"")</f>
        <v/>
      </c>
      <c r="N79" s="7" t="str">
        <f>IFERROR(VLOOKUP(K79,Transco!B:E,4,FALSE),"")</f>
        <v/>
      </c>
      <c r="O79" s="84" t="s">
        <v>2935</v>
      </c>
      <c r="P79" s="81" t="str">
        <f>INDEX(Calculs,$E$2,44)</f>
        <v>Actif (bilan):Capital souscrit et appelé, non versé brut Année N</v>
      </c>
    </row>
    <row r="80" spans="2:16" x14ac:dyDescent="0.2">
      <c r="B80" s="39" t="s">
        <v>1617</v>
      </c>
      <c r="C80" s="40"/>
      <c r="D80" s="89" t="s">
        <v>508</v>
      </c>
      <c r="E80" s="57" t="str">
        <f>INDEX(Calculs,$E$2,109)</f>
        <v>Actif (bilan):Immobilisations en cours brut Année N</v>
      </c>
      <c r="F80" s="70" t="str">
        <f>INDEX(Calculs,$E$2,107)</f>
        <v>Actif (bilan):Immobilisations en cours Net année N</v>
      </c>
      <c r="G80" s="70" t="str">
        <f>INDEX(Calculs,$E$2,108)</f>
        <v>Actif (bilan):Immobilisations en cours Net année N-1</v>
      </c>
      <c r="I80" s="7" t="str">
        <f t="shared" si="0"/>
        <v>AV</v>
      </c>
      <c r="J80" s="7" t="str">
        <f>D80&amp;"-"&amp;D81</f>
        <v>AV-AW</v>
      </c>
      <c r="K80" s="7" t="str">
        <f t="shared" si="3"/>
        <v>AV(N1)</v>
      </c>
      <c r="L80" s="163" t="str">
        <f>IFERROR(VLOOKUP(D80,Transco!B:E,4,FALSE),"")</f>
        <v>=INDEX(Liste;$E$2;109)</v>
      </c>
      <c r="M80" s="7" t="str">
        <f>IFERROR(VLOOKUP(J80,Transco!B:E,4,FALSE),"")</f>
        <v>=INDEX(Liste;$E$2;107)</v>
      </c>
      <c r="N80" s="7" t="str">
        <f>IFERROR(VLOOKUP(K80,Transco!B:E,4,FALSE),"")</f>
        <v>=INDEX(Liste;$E$2;108)</v>
      </c>
      <c r="O80" s="84" t="s">
        <v>2936</v>
      </c>
      <c r="P80" s="81" t="str">
        <f>INDEX(Calculs,$E$2,45)</f>
        <v>Actif (bilan):Capital souscrit non appelé Net année N</v>
      </c>
    </row>
    <row r="81" spans="2:16" x14ac:dyDescent="0.2">
      <c r="B81" s="75" t="s">
        <v>1600</v>
      </c>
      <c r="C81" s="40"/>
      <c r="D81" s="89" t="s">
        <v>505</v>
      </c>
      <c r="E81" s="57" t="str">
        <f>INDEX(Calculs,$E$2,106)</f>
        <v>Actif (bilan):Immobilisations en cours Amortissement année N</v>
      </c>
      <c r="F81" s="71"/>
      <c r="G81" s="71"/>
      <c r="I81" s="7" t="str">
        <f t="shared" si="0"/>
        <v>AW</v>
      </c>
      <c r="K81" s="7" t="str">
        <f t="shared" si="3"/>
        <v>AW(N1)</v>
      </c>
      <c r="L81" s="163" t="str">
        <f>IFERROR(VLOOKUP(D81,Transco!B:E,4,FALSE),"")</f>
        <v>=INDEX(Liste;$E$2;106)</v>
      </c>
      <c r="M81" s="7" t="str">
        <f>IFERROR(VLOOKUP(J81,Transco!B:E,4,FALSE),"")</f>
        <v/>
      </c>
      <c r="N81" s="7" t="str">
        <f>IFERROR(VLOOKUP(K81,Transco!B:E,4,FALSE),"")</f>
        <v/>
      </c>
      <c r="O81" s="84" t="s">
        <v>2937</v>
      </c>
      <c r="P81" s="81" t="str">
        <f>INDEX(Calculs,$E$2,46)</f>
        <v>Actif (bilan):Capital souscrit non appelé Net année N-1</v>
      </c>
    </row>
    <row r="82" spans="2:16" x14ac:dyDescent="0.2">
      <c r="B82" s="39" t="s">
        <v>1618</v>
      </c>
      <c r="C82" s="40"/>
      <c r="D82" s="89" t="s">
        <v>436</v>
      </c>
      <c r="E82" s="57" t="str">
        <f>INDEX(Calculs,$E$2,32)</f>
        <v>Actif (bilan):Avances et acomptes brut Année N</v>
      </c>
      <c r="F82" s="71" t="str">
        <f>INDEX(Calculs,$E$2,30)</f>
        <v>Actif (bilan):Avances et acomptes Net année N</v>
      </c>
      <c r="G82" s="71" t="str">
        <f>INDEX(Calculs,$E$2,31)</f>
        <v>Actif (bilan):Avances et acomptes Net année N-1</v>
      </c>
      <c r="I82" s="7" t="str">
        <f t="shared" si="0"/>
        <v>AX</v>
      </c>
      <c r="J82" s="7" t="str">
        <f>D82&amp;"-"&amp;D83</f>
        <v>AX-AY</v>
      </c>
      <c r="K82" s="7" t="str">
        <f t="shared" si="3"/>
        <v>AX(N1)</v>
      </c>
      <c r="L82" s="163" t="str">
        <f>IFERROR(VLOOKUP(D82,Transco!B:E,4,FALSE),"")</f>
        <v>=INDEX(Liste;$E$2;32)</v>
      </c>
      <c r="M82" s="7" t="str">
        <f>IFERROR(VLOOKUP(J82,Transco!B:E,4,FALSE),"")</f>
        <v>=INDEX(Liste;$E$2;30)</v>
      </c>
      <c r="N82" s="7" t="str">
        <f>IFERROR(VLOOKUP(K82,Transco!B:E,4,FALSE),"")</f>
        <v>=INDEX(Liste;$E$2;31)</v>
      </c>
      <c r="O82" s="84" t="s">
        <v>2938</v>
      </c>
      <c r="P82" s="81" t="str">
        <f>INDEX(Calculs,$E$2,47)</f>
        <v>Actif (bilan):Capital souscrit non appelé brut Année N</v>
      </c>
    </row>
    <row r="83" spans="2:16" x14ac:dyDescent="0.2">
      <c r="B83" s="75" t="s">
        <v>1600</v>
      </c>
      <c r="C83" s="40"/>
      <c r="D83" s="89" t="s">
        <v>433</v>
      </c>
      <c r="E83" s="57" t="str">
        <f>INDEX(Calculs,$E$2,29)</f>
        <v>Actif (bilan):Avances et acomptes Amortissement année N</v>
      </c>
      <c r="I83" s="7" t="str">
        <f t="shared" si="0"/>
        <v>AY</v>
      </c>
      <c r="K83" s="7" t="str">
        <f t="shared" si="3"/>
        <v>AY(N1)</v>
      </c>
      <c r="L83" s="163" t="str">
        <f>IFERROR(VLOOKUP(D83,Transco!B:E,4,FALSE),"")</f>
        <v>=INDEX(Liste;$E$2;29)</v>
      </c>
      <c r="M83" s="7" t="str">
        <f>IFERROR(VLOOKUP(J83,Transco!B:E,4,FALSE),"")</f>
        <v/>
      </c>
      <c r="N83" s="7" t="str">
        <f>IFERROR(VLOOKUP(K83,Transco!B:E,4,FALSE),"")</f>
        <v/>
      </c>
      <c r="O83" s="84" t="s">
        <v>2939</v>
      </c>
      <c r="P83" s="81" t="str">
        <f>INDEX(Calculs,$E$2,48)</f>
        <v>Actif (bilan):Charges à répartir ou frais d'émission d'emprunt Net année N</v>
      </c>
    </row>
    <row r="84" spans="2:16" x14ac:dyDescent="0.2">
      <c r="D84" s="1"/>
      <c r="I84" s="7">
        <f t="shared" si="0"/>
        <v>0</v>
      </c>
      <c r="L84" s="163" t="str">
        <f>IFERROR(VLOOKUP(D84,Transco!B:E,4,FALSE),"")</f>
        <v/>
      </c>
      <c r="M84" s="7" t="str">
        <f>IFERROR(VLOOKUP(J84,Transco!B:E,4,FALSE),"")</f>
        <v/>
      </c>
      <c r="N84" s="7" t="str">
        <f>IFERROR(VLOOKUP(K84,Transco!B:E,4,FALSE),"")</f>
        <v/>
      </c>
      <c r="O84" s="84" t="s">
        <v>2940</v>
      </c>
      <c r="P84" s="81" t="str">
        <f>INDEX(Calculs,$E$2,49)</f>
        <v>Actif (bilan):Charges à répartir ou frais d'émission d'emprunt Net année N-1</v>
      </c>
    </row>
    <row r="85" spans="2:16" x14ac:dyDescent="0.2">
      <c r="B85" s="105" t="s">
        <v>1619</v>
      </c>
      <c r="C85" s="38"/>
      <c r="D85" s="90"/>
      <c r="E85" s="103"/>
      <c r="I85" s="7">
        <f t="shared" si="0"/>
        <v>0</v>
      </c>
      <c r="L85" s="163" t="str">
        <f>IFERROR(VLOOKUP(D85,Transco!B:E,4,FALSE),"")</f>
        <v/>
      </c>
      <c r="M85" s="7" t="str">
        <f>IFERROR(VLOOKUP(J85,Transco!B:E,4,FALSE),"")</f>
        <v/>
      </c>
      <c r="N85" s="7" t="str">
        <f>IFERROR(VLOOKUP(K85,Transco!B:E,4,FALSE),"")</f>
        <v/>
      </c>
      <c r="O85" s="84" t="s">
        <v>2941</v>
      </c>
      <c r="P85" s="81" t="str">
        <f>INDEX(Calculs,$E$2,50)</f>
        <v>Actif (bilan):Charges à répartir ou frais d'émission d'emprunt brut Année N</v>
      </c>
    </row>
    <row r="86" spans="2:16" x14ac:dyDescent="0.2">
      <c r="B86" s="39" t="s">
        <v>1620</v>
      </c>
      <c r="C86" s="40"/>
      <c r="D86" s="89" t="s">
        <v>1621</v>
      </c>
      <c r="E86" s="57" t="str">
        <f>INDEX(Calculs,$E$2,125)</f>
        <v>Actif (bilan):Participations évaluées - mise en équivalence brut Année N</v>
      </c>
      <c r="F86" s="71" t="str">
        <f>INDEX(Calculs,$E$2,123)</f>
        <v>Actif (bilan):Participations évaluées - mise en équivalence Net année N</v>
      </c>
      <c r="G86" s="71" t="str">
        <f>INDEX(Calculs,$E$2,124)</f>
        <v>Actif (bilan):Participations évaluées - mise en équivalence Net année N-1</v>
      </c>
      <c r="I86" s="7" t="str">
        <f t="shared" si="0"/>
        <v>CS</v>
      </c>
      <c r="J86" s="7" t="str">
        <f>D86&amp;"-"&amp;D87</f>
        <v>CS-CT</v>
      </c>
      <c r="K86" s="7" t="str">
        <f t="shared" ref="K86:K97" si="4">D86&amp;"(N1)"</f>
        <v>CS(N1)</v>
      </c>
      <c r="L86" s="163" t="str">
        <f>IFERROR(VLOOKUP(D86,Transco!B:E,4,FALSE),"")</f>
        <v>=INDEX(Liste;$E$2;125)</v>
      </c>
      <c r="M86" s="7" t="str">
        <f>IFERROR(VLOOKUP(J86,Transco!B:E,4,FALSE),"")</f>
        <v>=INDEX(Liste;$E$2;123)</v>
      </c>
      <c r="N86" s="7" t="str">
        <f>IFERROR(VLOOKUP(K86,Transco!B:E,4,FALSE),"")</f>
        <v>=INDEX(Liste;$E$2;124)</v>
      </c>
      <c r="O86" s="84" t="s">
        <v>2942</v>
      </c>
      <c r="P86" s="81" t="str">
        <f>INDEX(Calculs,$E$2,51)</f>
        <v>Actif (bilan):Charges constatées d'avance Amortissement année N</v>
      </c>
    </row>
    <row r="87" spans="2:16" x14ac:dyDescent="0.2">
      <c r="B87" s="75" t="s">
        <v>1600</v>
      </c>
      <c r="C87" s="40"/>
      <c r="D87" s="89" t="s">
        <v>1622</v>
      </c>
      <c r="E87" s="57" t="str">
        <f>INDEX(Calculs,$E$2,122)</f>
        <v>Actif (bilan):Participations évaluées - mise en équivalence Amortissement année N</v>
      </c>
      <c r="I87" s="7" t="str">
        <f t="shared" si="0"/>
        <v>CT</v>
      </c>
      <c r="K87" s="7" t="str">
        <f t="shared" si="4"/>
        <v>CT(N1)</v>
      </c>
      <c r="L87" s="163" t="str">
        <f>IFERROR(VLOOKUP(D87,Transco!B:E,4,FALSE),"")</f>
        <v>=INDEX(Liste;$E$2;122)</v>
      </c>
      <c r="M87" s="7" t="str">
        <f>IFERROR(VLOOKUP(J87,Transco!B:E,4,FALSE),"")</f>
        <v/>
      </c>
      <c r="N87" s="7" t="str">
        <f>IFERROR(VLOOKUP(K87,Transco!B:E,4,FALSE),"")</f>
        <v/>
      </c>
      <c r="O87" s="84" t="s">
        <v>2943</v>
      </c>
      <c r="P87" s="81" t="str">
        <f>INDEX(Calculs,$E$2,52)</f>
        <v>Actif (bilan):Charges constatées d'avance Net année N</v>
      </c>
    </row>
    <row r="88" spans="2:16" x14ac:dyDescent="0.2">
      <c r="B88" s="39" t="s">
        <v>1623</v>
      </c>
      <c r="C88" s="40"/>
      <c r="D88" s="89" t="s">
        <v>428</v>
      </c>
      <c r="E88" s="57" t="str">
        <f>INDEX(Calculs,$E$2,24)</f>
        <v>Actif (bilan):Autres participations brut Année N</v>
      </c>
      <c r="F88" s="71" t="str">
        <f>INDEX(Calculs,$E$2,22)</f>
        <v>Actif (bilan):Autres participations Net année N</v>
      </c>
      <c r="G88" s="71" t="str">
        <f>INDEX(Calculs,$E$2,23)</f>
        <v>Actif (bilan):Autres participations Net année N-1</v>
      </c>
      <c r="I88" s="7" t="str">
        <f t="shared" si="0"/>
        <v>CU</v>
      </c>
      <c r="J88" s="7" t="str">
        <f>D88&amp;"-"&amp;D89</f>
        <v>CU-CV</v>
      </c>
      <c r="K88" s="7" t="str">
        <f t="shared" si="4"/>
        <v>CU(N1)</v>
      </c>
      <c r="L88" s="163" t="str">
        <f>IFERROR(VLOOKUP(D88,Transco!B:E,4,FALSE),"")</f>
        <v>=INDEX(Liste;$E$2;24)</v>
      </c>
      <c r="M88" s="7" t="str">
        <f>IFERROR(VLOOKUP(J88,Transco!B:E,4,FALSE),"")</f>
        <v>=INDEX(Liste;$E$2;22)</v>
      </c>
      <c r="N88" s="7" t="str">
        <f>IFERROR(VLOOKUP(K88,Transco!B:E,4,FALSE),"")</f>
        <v>=INDEX(Liste;$E$2;23)</v>
      </c>
      <c r="O88" s="84" t="s">
        <v>2944</v>
      </c>
      <c r="P88" s="81" t="str">
        <f>INDEX(Calculs,$E$2,53)</f>
        <v>Actif (bilan):Charges constatées d'avance Net année N-1</v>
      </c>
    </row>
    <row r="89" spans="2:16" x14ac:dyDescent="0.2">
      <c r="B89" s="75" t="s">
        <v>1600</v>
      </c>
      <c r="C89" s="40"/>
      <c r="D89" s="89" t="s">
        <v>425</v>
      </c>
      <c r="E89" s="57" t="str">
        <f>INDEX(Calculs,$E$2,21)</f>
        <v>Actif (bilan):Autres participations Amortissement année N</v>
      </c>
      <c r="I89" s="7" t="str">
        <f t="shared" si="0"/>
        <v>CV</v>
      </c>
      <c r="K89" s="7" t="str">
        <f t="shared" si="4"/>
        <v>CV(N1)</v>
      </c>
      <c r="L89" s="163" t="str">
        <f>IFERROR(VLOOKUP(D89,Transco!B:E,4,FALSE),"")</f>
        <v>=INDEX(Liste;$E$2;21)</v>
      </c>
      <c r="M89" s="7" t="str">
        <f>IFERROR(VLOOKUP(J89,Transco!B:E,4,FALSE),"")</f>
        <v/>
      </c>
      <c r="N89" s="7" t="str">
        <f>IFERROR(VLOOKUP(K89,Transco!B:E,4,FALSE),"")</f>
        <v/>
      </c>
      <c r="O89" s="84" t="s">
        <v>2945</v>
      </c>
      <c r="P89" s="81" t="str">
        <f>INDEX(Calculs,$E$2,54)</f>
        <v>Actif (bilan):Charges constatées d'avance brut Année N</v>
      </c>
    </row>
    <row r="90" spans="2:16" x14ac:dyDescent="0.2">
      <c r="B90" s="39" t="s">
        <v>1624</v>
      </c>
      <c r="C90" s="40"/>
      <c r="D90" s="89" t="s">
        <v>472</v>
      </c>
      <c r="E90" s="57" t="str">
        <f>INDEX(Calculs,$E$2,70)</f>
        <v>Actif (bilan):Créances rattachées à des participations brut Année N</v>
      </c>
      <c r="F90" s="71" t="str">
        <f>INDEX(Calculs,$E$2,68)</f>
        <v>Actif (bilan):Créances rattachées à des participations Net année N</v>
      </c>
      <c r="G90" s="71" t="str">
        <f>INDEX(Calculs,$E$2,69)</f>
        <v>Actif (bilan):Créances rattachées à des participations Net année N-1</v>
      </c>
      <c r="I90" s="7" t="str">
        <f t="shared" si="0"/>
        <v>BB</v>
      </c>
      <c r="J90" s="7" t="str">
        <f>D90&amp;"-"&amp;D91</f>
        <v>BB-BC</v>
      </c>
      <c r="K90" s="7" t="str">
        <f t="shared" si="4"/>
        <v>BB(N1)</v>
      </c>
      <c r="L90" s="163" t="str">
        <f>IFERROR(VLOOKUP(D90,Transco!B:E,4,FALSE),"")</f>
        <v>=INDEX(Liste;$E$2;70)</v>
      </c>
      <c r="M90" s="7" t="str">
        <f>IFERROR(VLOOKUP(J90,Transco!B:E,4,FALSE),"")</f>
        <v>=INDEX(Liste;$E$2;68)</v>
      </c>
      <c r="N90" s="7" t="str">
        <f>IFERROR(VLOOKUP(K90,Transco!B:E,4,FALSE),"")</f>
        <v>=INDEX(Liste;$E$2;69)</v>
      </c>
      <c r="O90" s="84" t="s">
        <v>2946</v>
      </c>
      <c r="P90" s="81" t="str">
        <f>INDEX(Calculs,$E$2,55)</f>
        <v>Actif (bilan):Clients et comptes rattachés Amortissement année N</v>
      </c>
    </row>
    <row r="91" spans="2:16" x14ac:dyDescent="0.2">
      <c r="B91" s="75" t="s">
        <v>1600</v>
      </c>
      <c r="C91" s="40"/>
      <c r="D91" s="89" t="s">
        <v>469</v>
      </c>
      <c r="E91" s="57" t="str">
        <f>INDEX(Calculs,$E$2,67)</f>
        <v>Actif (bilan):Créances rattachées à des participations Amortissement année N</v>
      </c>
      <c r="I91" s="7" t="str">
        <f t="shared" si="0"/>
        <v>BC</v>
      </c>
      <c r="K91" s="7" t="str">
        <f t="shared" si="4"/>
        <v>BC(N1)</v>
      </c>
      <c r="L91" s="163" t="str">
        <f>IFERROR(VLOOKUP(D91,Transco!B:E,4,FALSE),"")</f>
        <v>=INDEX(Liste;$E$2;67)</v>
      </c>
      <c r="M91" s="7" t="str">
        <f>IFERROR(VLOOKUP(J91,Transco!B:E,4,FALSE),"")</f>
        <v/>
      </c>
      <c r="N91" s="7" t="str">
        <f>IFERROR(VLOOKUP(K91,Transco!B:E,4,FALSE),"")</f>
        <v/>
      </c>
      <c r="O91" s="84" t="s">
        <v>2947</v>
      </c>
      <c r="P91" s="81" t="str">
        <f>INDEX(Calculs,$E$2,56)</f>
        <v>Actif (bilan):Clients et comptes rattachés Net année N</v>
      </c>
    </row>
    <row r="92" spans="2:16" x14ac:dyDescent="0.2">
      <c r="B92" s="39" t="s">
        <v>1625</v>
      </c>
      <c r="C92" s="40"/>
      <c r="D92" s="89" t="s">
        <v>432</v>
      </c>
      <c r="E92" s="57" t="str">
        <f>INDEX(Calculs,$E$2,28)</f>
        <v>Actif (bilan):Autres titres immobilisés brut Année N</v>
      </c>
      <c r="F92" s="71" t="str">
        <f>INDEX(Calculs,$E$2,26)</f>
        <v>Actif (bilan):Autres titres immobilisés Net année N</v>
      </c>
      <c r="G92" s="71" t="str">
        <f>INDEX(Calculs,$E$2,27)</f>
        <v>Actif (bilan):Autres titres immobilisés Net année N-1</v>
      </c>
      <c r="I92" s="7" t="str">
        <f t="shared" si="0"/>
        <v>BD</v>
      </c>
      <c r="J92" s="7" t="str">
        <f>D92&amp;"-"&amp;D93</f>
        <v>BD-BE</v>
      </c>
      <c r="K92" s="7" t="str">
        <f t="shared" si="4"/>
        <v>BD(N1)</v>
      </c>
      <c r="L92" s="163" t="str">
        <f>IFERROR(VLOOKUP(D92,Transco!B:E,4,FALSE),"")</f>
        <v>=INDEX(Liste;$E$2;28)</v>
      </c>
      <c r="M92" s="7" t="str">
        <f>IFERROR(VLOOKUP(J92,Transco!B:E,4,FALSE),"")</f>
        <v>=INDEX(Liste;$E$2;26)</v>
      </c>
      <c r="N92" s="7" t="str">
        <f>IFERROR(VLOOKUP(K92,Transco!B:E,4,FALSE),"")</f>
        <v>=INDEX(Liste;$E$2;27)</v>
      </c>
      <c r="O92" s="84" t="s">
        <v>2948</v>
      </c>
      <c r="P92" s="81" t="str">
        <f>INDEX(Calculs,$E$2,57)</f>
        <v>Actif (bilan):Clients et comptes rattachés Net année N-1</v>
      </c>
    </row>
    <row r="93" spans="2:16" x14ac:dyDescent="0.2">
      <c r="B93" s="75" t="s">
        <v>1600</v>
      </c>
      <c r="C93" s="40"/>
      <c r="D93" s="89" t="s">
        <v>429</v>
      </c>
      <c r="E93" s="57" t="str">
        <f>INDEX(Calculs,$E$2,25)</f>
        <v>Actif (bilan):Autres titres immobilisés Amortissement année N</v>
      </c>
      <c r="I93" s="7" t="str">
        <f t="shared" si="0"/>
        <v>BE</v>
      </c>
      <c r="K93" s="7" t="str">
        <f t="shared" si="4"/>
        <v>BE(N1)</v>
      </c>
      <c r="L93" s="163" t="str">
        <f>IFERROR(VLOOKUP(D93,Transco!B:E,4,FALSE),"")</f>
        <v>=INDEX(Liste;$E$2;25)</v>
      </c>
      <c r="M93" s="7" t="str">
        <f>IFERROR(VLOOKUP(J93,Transco!B:E,4,FALSE),"")</f>
        <v/>
      </c>
      <c r="N93" s="7" t="str">
        <f>IFERROR(VLOOKUP(K93,Transco!B:E,4,FALSE),"")</f>
        <v/>
      </c>
      <c r="O93" s="84" t="s">
        <v>2949</v>
      </c>
      <c r="P93" s="81" t="str">
        <f>INDEX(Calculs,$E$2,58)</f>
        <v>Actif (bilan):Clients et comptes rattachés brut Année N</v>
      </c>
    </row>
    <row r="94" spans="2:16" x14ac:dyDescent="0.2">
      <c r="B94" s="39" t="s">
        <v>1626</v>
      </c>
      <c r="C94" s="40"/>
      <c r="D94" s="89" t="s">
        <v>528</v>
      </c>
      <c r="E94" s="57" t="str">
        <f>INDEX(Calculs,$E$2,129)</f>
        <v>Actif (bilan):Pré�ts brut Année N</v>
      </c>
      <c r="F94" s="71" t="str">
        <f>INDEX(Calculs,$E$2,127)</f>
        <v>Actif (bilan):Pré�ts Net année N</v>
      </c>
      <c r="G94" s="71" t="str">
        <f>INDEX(Calculs,$E$2,128)</f>
        <v>Actif (bilan):Pré�ts Net année N-1</v>
      </c>
      <c r="I94" s="7" t="str">
        <f t="shared" si="0"/>
        <v>BF</v>
      </c>
      <c r="J94" s="7" t="str">
        <f>D94&amp;"-"&amp;D95</f>
        <v>BF-BG</v>
      </c>
      <c r="K94" s="7" t="str">
        <f t="shared" si="4"/>
        <v>BF(N1)</v>
      </c>
      <c r="L94" s="163" t="str">
        <f>IFERROR(VLOOKUP(D94,Transco!B:E,4,FALSE),"")</f>
        <v>=INDEX(Liste;$E$2;129)</v>
      </c>
      <c r="M94" s="7" t="str">
        <f>IFERROR(VLOOKUP(J94,Transco!B:E,4,FALSE),"")</f>
        <v>=INDEX(Liste;$E$2;127)</v>
      </c>
      <c r="N94" s="7" t="str">
        <f>IFERROR(VLOOKUP(K94,Transco!B:E,4,FALSE),"")</f>
        <v>=INDEX(Liste;$E$2;128)</v>
      </c>
      <c r="O94" s="84" t="s">
        <v>2950</v>
      </c>
      <c r="P94" s="81" t="str">
        <f>INDEX(Calculs,$E$2,59)</f>
        <v>Actif (bilan):Concessions, brevets et droits similaires Amortissement année N</v>
      </c>
    </row>
    <row r="95" spans="2:16" x14ac:dyDescent="0.2">
      <c r="B95" s="75" t="s">
        <v>1600</v>
      </c>
      <c r="C95" s="40"/>
      <c r="D95" s="89" t="s">
        <v>525</v>
      </c>
      <c r="E95" s="57" t="str">
        <f>INDEX(Calculs,$E$2,126)</f>
        <v>Actif (bilan):Pré�ts Amortissement année N</v>
      </c>
      <c r="I95" s="7" t="str">
        <f t="shared" si="0"/>
        <v>BG</v>
      </c>
      <c r="K95" s="7" t="str">
        <f t="shared" si="4"/>
        <v>BG(N1)</v>
      </c>
      <c r="L95" s="163" t="str">
        <f>IFERROR(VLOOKUP(D95,Transco!B:E,4,FALSE),"")</f>
        <v>=INDEX(Liste;$E$2;126)</v>
      </c>
      <c r="M95" s="7" t="str">
        <f>IFERROR(VLOOKUP(J95,Transco!B:E,4,FALSE),"")</f>
        <v/>
      </c>
      <c r="N95" s="7" t="str">
        <f>IFERROR(VLOOKUP(K95,Transco!B:E,4,FALSE),"")</f>
        <v/>
      </c>
      <c r="O95" s="84" t="s">
        <v>2951</v>
      </c>
      <c r="P95" s="81" t="str">
        <f>INDEX(Calculs,$E$2,60)</f>
        <v>Actif (bilan):Concessions, brevets et droits similaires Net année N</v>
      </c>
    </row>
    <row r="96" spans="2:16" x14ac:dyDescent="0.2">
      <c r="B96" s="39" t="s">
        <v>1627</v>
      </c>
      <c r="C96" s="40"/>
      <c r="D96" s="89" t="s">
        <v>420</v>
      </c>
      <c r="E96" s="57" t="str">
        <f>INDEX(Calculs,$E$2,16)</f>
        <v>Actif (bilan):Autres immobilisations financiéres brut Année N</v>
      </c>
      <c r="F96" s="71" t="str">
        <f>INDEX(Calculs,$E$2,14)</f>
        <v>Actif (bilan):Autres immobilisations financiéres Net année N</v>
      </c>
      <c r="G96" s="71" t="str">
        <f>INDEX(Calculs,$E$2,15)</f>
        <v>Actif (bilan):Autres immobilisations financiéres Net année N-1</v>
      </c>
      <c r="I96" s="7" t="str">
        <f t="shared" si="0"/>
        <v>BH</v>
      </c>
      <c r="J96" s="7" t="str">
        <f>D96&amp;"-"&amp;D97</f>
        <v>BH-BI</v>
      </c>
      <c r="K96" s="7" t="str">
        <f t="shared" si="4"/>
        <v>BH(N1)</v>
      </c>
      <c r="L96" s="163" t="str">
        <f>IFERROR(VLOOKUP(D96,Transco!B:E,4,FALSE),"")</f>
        <v>=INDEX(Liste;$E$2;16)</v>
      </c>
      <c r="M96" s="7" t="str">
        <f>IFERROR(VLOOKUP(J96,Transco!B:E,4,FALSE),"")</f>
        <v>=INDEX(Liste;$E$2;14)</v>
      </c>
      <c r="N96" s="7" t="str">
        <f>IFERROR(VLOOKUP(K96,Transco!B:E,4,FALSE),"")</f>
        <v>=INDEX(Liste;$E$2;15)</v>
      </c>
      <c r="O96" s="84" t="s">
        <v>2952</v>
      </c>
      <c r="P96" s="81" t="str">
        <f>INDEX(Calculs,$E$2,61)</f>
        <v>Actif (bilan):Concessions, brevets et droits similaires Net année N-1</v>
      </c>
    </row>
    <row r="97" spans="2:16" x14ac:dyDescent="0.2">
      <c r="B97" s="75" t="s">
        <v>1600</v>
      </c>
      <c r="C97" s="40"/>
      <c r="D97" s="89" t="s">
        <v>417</v>
      </c>
      <c r="E97" s="57" t="str">
        <f>INDEX(Calculs,$E$2,13)</f>
        <v>Actif (bilan):Autres immobilisations financiéres Amortissement année N</v>
      </c>
      <c r="I97" s="7" t="str">
        <f t="shared" si="0"/>
        <v>BI</v>
      </c>
      <c r="K97" s="7" t="str">
        <f t="shared" si="4"/>
        <v>BI(N1)</v>
      </c>
      <c r="L97" s="163" t="str">
        <f>IFERROR(VLOOKUP(D97,Transco!B:E,4,FALSE),"")</f>
        <v>=INDEX(Liste;$E$2;13)</v>
      </c>
      <c r="M97" s="7" t="str">
        <f>IFERROR(VLOOKUP(J97,Transco!B:E,4,FALSE),"")</f>
        <v/>
      </c>
      <c r="N97" s="7" t="str">
        <f>IFERROR(VLOOKUP(K97,Transco!B:E,4,FALSE),"")</f>
        <v/>
      </c>
      <c r="O97" s="84" t="s">
        <v>131</v>
      </c>
      <c r="P97" s="81" t="str">
        <f>INDEX(Calculs,$E$2,62)</f>
        <v>Actif (bilan):Concessions, brevets et droits similaires brut Année N</v>
      </c>
    </row>
    <row r="98" spans="2:16" x14ac:dyDescent="0.2">
      <c r="C98" s="38"/>
      <c r="D98" s="90"/>
      <c r="E98" s="103"/>
      <c r="I98" s="7">
        <f t="shared" si="0"/>
        <v>0</v>
      </c>
      <c r="L98" s="163" t="str">
        <f>IFERROR(VLOOKUP(D98,Transco!B:E,4,FALSE),"")</f>
        <v/>
      </c>
      <c r="M98" s="7" t="str">
        <f>IFERROR(VLOOKUP(J98,Transco!B:E,4,FALSE),"")</f>
        <v/>
      </c>
      <c r="N98" s="7" t="str">
        <f>IFERROR(VLOOKUP(K98,Transco!B:E,4,FALSE),"")</f>
        <v/>
      </c>
      <c r="O98" s="84" t="s">
        <v>2953</v>
      </c>
      <c r="P98" s="81" t="str">
        <f>INDEX(Calculs,$E$2,63)</f>
        <v>Actif (bilan):Constructions Amortissement année N</v>
      </c>
    </row>
    <row r="99" spans="2:16" x14ac:dyDescent="0.2">
      <c r="B99" s="105" t="s">
        <v>1628</v>
      </c>
      <c r="C99" s="110"/>
      <c r="D99" s="146"/>
      <c r="I99" s="7">
        <f t="shared" si="0"/>
        <v>0</v>
      </c>
      <c r="L99" s="163" t="str">
        <f>IFERROR(VLOOKUP(D99,Transco!B:E,4,FALSE),"")</f>
        <v/>
      </c>
      <c r="M99" s="7" t="str">
        <f>IFERROR(VLOOKUP(J99,Transco!B:E,4,FALSE),"")</f>
        <v/>
      </c>
      <c r="N99" s="7" t="str">
        <f>IFERROR(VLOOKUP(K99,Transco!B:E,4,FALSE),"")</f>
        <v/>
      </c>
      <c r="O99" s="84" t="s">
        <v>2954</v>
      </c>
      <c r="P99" s="81" t="str">
        <f>INDEX(Calculs,$E$2,64)</f>
        <v>Actif (bilan):Constructions Net année N</v>
      </c>
    </row>
    <row r="100" spans="2:16" x14ac:dyDescent="0.2">
      <c r="B100" s="46" t="s">
        <v>1628</v>
      </c>
      <c r="C100" s="40"/>
      <c r="D100" s="147" t="s">
        <v>524</v>
      </c>
      <c r="E100" s="57" t="str">
        <f>INDEX(Calculs,$E$2,160)</f>
        <v>Actif (bilan):Titres mis en équivalence brut Année N</v>
      </c>
      <c r="F100" s="71" t="str">
        <f>INDEX(Calculs,$E$2,158)</f>
        <v>Actif (bilan):Titres mis en équivalence Net année N</v>
      </c>
      <c r="G100" s="71" t="str">
        <f>INDEX(Calculs,$E$2,159)</f>
        <v>Actif (bilan):Titres mis en équivalence Net année N-1</v>
      </c>
      <c r="I100" s="7" t="str">
        <f t="shared" si="0"/>
        <v>CO4AB</v>
      </c>
      <c r="J100" s="7" t="str">
        <f>D100&amp;"-"&amp;D101</f>
        <v>CO4AB-CO4AA</v>
      </c>
      <c r="K100" s="7" t="str">
        <f>D100&amp;"(N1)"</f>
        <v>CO4AB(N1)</v>
      </c>
      <c r="L100" s="163" t="str">
        <f>IFERROR(VLOOKUP(D100,Transco!B:E,4,FALSE),"")</f>
        <v>=INDEX(Liste;$E$2;160)</v>
      </c>
      <c r="M100" s="7" t="str">
        <f>IFERROR(VLOOKUP(J100,Transco!B:E,4,FALSE),"")</f>
        <v>=INDEX(Liste;$E$2;158)</v>
      </c>
      <c r="N100" s="7" t="str">
        <f>IFERROR(VLOOKUP(K100,Transco!B:E,4,FALSE),"")</f>
        <v>=INDEX(Liste;$E$2;159)</v>
      </c>
      <c r="O100" s="84" t="s">
        <v>2955</v>
      </c>
      <c r="P100" s="81" t="str">
        <f>INDEX(Calculs,$E$2,65)</f>
        <v>Actif (bilan):Constructions Net année N-1</v>
      </c>
    </row>
    <row r="101" spans="2:16" x14ac:dyDescent="0.2">
      <c r="B101" s="76" t="s">
        <v>1600</v>
      </c>
      <c r="C101" s="40"/>
      <c r="D101" s="147" t="s">
        <v>521</v>
      </c>
      <c r="E101" s="57" t="str">
        <f>INDEX(Calculs,$E$2,157)</f>
        <v>Actif (bilan):Titres mis en équivalence Amortissement année N</v>
      </c>
      <c r="I101" s="7" t="str">
        <f t="shared" si="0"/>
        <v>CO4AA</v>
      </c>
      <c r="K101" s="7" t="str">
        <f>D101&amp;"(N1)"</f>
        <v>CO4AA(N1)</v>
      </c>
      <c r="L101" s="163" t="str">
        <f>IFERROR(VLOOKUP(D101,Transco!B:E,4,FALSE),"")</f>
        <v>=INDEX(Liste;$E$2;157)</v>
      </c>
      <c r="M101" s="7" t="str">
        <f>IFERROR(VLOOKUP(J101,Transco!B:E,4,FALSE),"")</f>
        <v/>
      </c>
      <c r="N101" s="7" t="str">
        <f>IFERROR(VLOOKUP(K101,Transco!B:E,4,FALSE),"")</f>
        <v/>
      </c>
      <c r="O101" s="84" t="s">
        <v>135</v>
      </c>
      <c r="P101" s="81" t="str">
        <f>INDEX(Calculs,$E$2,66)</f>
        <v>Actif (bilan):Constructions brut Année N</v>
      </c>
    </row>
    <row r="102" spans="2:16" x14ac:dyDescent="0.2">
      <c r="I102" s="7">
        <f t="shared" si="0"/>
        <v>0</v>
      </c>
      <c r="L102" s="163" t="str">
        <f>IFERROR(VLOOKUP(D102,Transco!B:E,4,FALSE),"")</f>
        <v/>
      </c>
      <c r="M102" s="7" t="str">
        <f>IFERROR(VLOOKUP(J102,Transco!B:E,4,FALSE),"")</f>
        <v/>
      </c>
      <c r="N102" s="7" t="str">
        <f>IFERROR(VLOOKUP(K102,Transco!B:E,4,FALSE),"")</f>
        <v/>
      </c>
      <c r="O102" s="84" t="s">
        <v>2956</v>
      </c>
      <c r="P102" s="81" t="str">
        <f>INDEX(Calculs,$E$2,67)</f>
        <v>Actif (bilan):Créances rattachées à des participations Amortissement année N</v>
      </c>
    </row>
    <row r="103" spans="2:16" x14ac:dyDescent="0.2">
      <c r="B103" s="111" t="s">
        <v>1804</v>
      </c>
      <c r="C103" s="112"/>
      <c r="D103" s="113" t="s">
        <v>544</v>
      </c>
      <c r="E103" s="114" t="str">
        <f>INDEX(Calculs,$E$2,144)</f>
        <v>Actif (bilan):TOTAL (I) brut Année N</v>
      </c>
      <c r="F103" s="115" t="str">
        <f>INDEX(Calculs,$E$2,142)</f>
        <v>Actif (bilan):TOTAL (I) Net année N</v>
      </c>
      <c r="G103" s="115" t="str">
        <f>INDEX(Calculs,$E$2,143)</f>
        <v>Actif (bilan):TOTAL (I) Net année N-1</v>
      </c>
      <c r="I103" s="7" t="str">
        <f t="shared" si="0"/>
        <v>BJ</v>
      </c>
      <c r="J103" s="7" t="str">
        <f>D103&amp;"-"&amp;D104</f>
        <v>BJ-BK</v>
      </c>
      <c r="K103" s="7" t="str">
        <f>D103&amp;"(N1)"</f>
        <v>BJ(N1)</v>
      </c>
      <c r="L103" s="163" t="str">
        <f>IFERROR(VLOOKUP(D103,Transco!B:E,4,FALSE),"")</f>
        <v>=INDEX(Liste;$E$2;144)</v>
      </c>
      <c r="M103" s="7" t="str">
        <f>IFERROR(VLOOKUP(J103,Transco!B:E,4,FALSE),"")</f>
        <v>=INDEX(Liste;$E$2;142)</v>
      </c>
      <c r="N103" s="7" t="str">
        <f>IFERROR(VLOOKUP(K103,Transco!B:E,4,FALSE),"")</f>
        <v>=INDEX(Liste;$E$2;143)</v>
      </c>
      <c r="O103" s="84" t="s">
        <v>2957</v>
      </c>
      <c r="P103" s="81" t="str">
        <f>INDEX(Calculs,$E$2,68)</f>
        <v>Actif (bilan):Créances rattachées à des participations Net année N</v>
      </c>
    </row>
    <row r="104" spans="2:16" x14ac:dyDescent="0.2">
      <c r="B104" s="111" t="s">
        <v>1629</v>
      </c>
      <c r="C104" s="112"/>
      <c r="D104" s="113" t="s">
        <v>541</v>
      </c>
      <c r="E104" s="114" t="str">
        <f>INDEX(Calculs,$E$2,141)</f>
        <v>Actif (bilan):TOTAL (I) Amortissement année N</v>
      </c>
      <c r="F104" s="116"/>
      <c r="G104" s="116"/>
      <c r="I104" s="7" t="str">
        <f t="shared" si="0"/>
        <v>BK</v>
      </c>
      <c r="K104" s="7" t="str">
        <f>D104&amp;"(N1)"</f>
        <v>BK(N1)</v>
      </c>
      <c r="L104" s="163" t="str">
        <f>IFERROR(VLOOKUP(D104,Transco!B:E,4,FALSE),"")</f>
        <v>=INDEX(Liste;$E$2;141)</v>
      </c>
      <c r="M104" s="7" t="str">
        <f>IFERROR(VLOOKUP(J104,Transco!B:E,4,FALSE),"")</f>
        <v/>
      </c>
      <c r="N104" s="7" t="str">
        <f>IFERROR(VLOOKUP(K104,Transco!B:E,4,FALSE),"")</f>
        <v/>
      </c>
      <c r="O104" s="84" t="s">
        <v>2958</v>
      </c>
      <c r="P104" s="81" t="str">
        <f>INDEX(Calculs,$E$2,69)</f>
        <v>Actif (bilan):Créances rattachées à des participations Net année N-1</v>
      </c>
    </row>
    <row r="105" spans="2:16" x14ac:dyDescent="0.2">
      <c r="I105" s="7">
        <f t="shared" si="0"/>
        <v>0</v>
      </c>
      <c r="L105" s="163" t="str">
        <f>IFERROR(VLOOKUP(D105,Transco!B:E,4,FALSE),"")</f>
        <v/>
      </c>
      <c r="M105" s="7" t="str">
        <f>IFERROR(VLOOKUP(J105,Transco!B:E,4,FALSE),"")</f>
        <v/>
      </c>
      <c r="N105" s="7" t="str">
        <f>IFERROR(VLOOKUP(K105,Transco!B:E,4,FALSE),"")</f>
        <v/>
      </c>
      <c r="O105" s="84" t="s">
        <v>2959</v>
      </c>
      <c r="P105" s="81" t="str">
        <f>INDEX(Calculs,$E$2,71)</f>
        <v>Actif (bilan):Différence de premiére consolidation Amortissement année N</v>
      </c>
    </row>
    <row r="106" spans="2:16" x14ac:dyDescent="0.2">
      <c r="B106" s="105" t="s">
        <v>1630</v>
      </c>
      <c r="C106" s="38"/>
      <c r="D106" s="103"/>
      <c r="E106" s="103"/>
      <c r="I106" s="7">
        <f t="shared" si="0"/>
        <v>0</v>
      </c>
      <c r="L106" s="163" t="str">
        <f>IFERROR(VLOOKUP(D106,Transco!B:E,4,FALSE),"")</f>
        <v/>
      </c>
      <c r="M106" s="7" t="str">
        <f>IFERROR(VLOOKUP(J106,Transco!B:E,4,FALSE),"")</f>
        <v/>
      </c>
      <c r="N106" s="7" t="str">
        <f>IFERROR(VLOOKUP(K106,Transco!B:E,4,FALSE),"")</f>
        <v/>
      </c>
      <c r="O106" s="84" t="s">
        <v>2960</v>
      </c>
      <c r="P106" s="81" t="str">
        <f>INDEX(Calculs,$E$2,72)</f>
        <v>Actif (bilan):Différence de premiére consolidation Net année N</v>
      </c>
    </row>
    <row r="107" spans="2:16" x14ac:dyDescent="0.2">
      <c r="B107" s="39" t="s">
        <v>1631</v>
      </c>
      <c r="C107" s="40"/>
      <c r="D107" s="89" t="s">
        <v>520</v>
      </c>
      <c r="E107" s="57" t="str">
        <f>INDEX(Calculs,$E$2,121)</f>
        <v>Actif (bilan):Matiéres premiéres, approvisionnements brut Année N</v>
      </c>
      <c r="F107" s="71" t="str">
        <f>INDEX(Calculs,$E$2,119)</f>
        <v>Actif (bilan):Matiéres premiéres, approvisionnements Net année N</v>
      </c>
      <c r="G107" s="71" t="str">
        <f>INDEX(Calculs,$E$2,120)</f>
        <v>Actif (bilan):Matiéres premiéres, approvisionnements Net année N-1</v>
      </c>
      <c r="I107" s="7" t="str">
        <f t="shared" si="0"/>
        <v>BL</v>
      </c>
      <c r="J107" s="7" t="str">
        <f>D107&amp;"-"&amp;D108</f>
        <v>BL-BM</v>
      </c>
      <c r="K107" s="7" t="str">
        <f t="shared" ref="K107:K116" si="5">D107&amp;"(N1)"</f>
        <v>BL(N1)</v>
      </c>
      <c r="L107" s="163" t="str">
        <f>IFERROR(VLOOKUP(D107,Transco!B:E,4,FALSE),"")</f>
        <v>=INDEX(Liste;$E$2;121)</v>
      </c>
      <c r="M107" s="7" t="str">
        <f>IFERROR(VLOOKUP(J107,Transco!B:E,4,FALSE),"")</f>
        <v>=INDEX(Liste;$E$2;119)</v>
      </c>
      <c r="N107" s="7" t="str">
        <f>IFERROR(VLOOKUP(K107,Transco!B:E,4,FALSE),"")</f>
        <v>=INDEX(Liste;$E$2;120)</v>
      </c>
      <c r="O107" s="84" t="s">
        <v>2961</v>
      </c>
      <c r="P107" s="81" t="str">
        <f>INDEX(Calculs,$E$2,73)</f>
        <v>Actif (bilan):Différence de premiére consolidation Net année N-1</v>
      </c>
    </row>
    <row r="108" spans="2:16" x14ac:dyDescent="0.2">
      <c r="B108" s="75" t="s">
        <v>1600</v>
      </c>
      <c r="C108" s="40"/>
      <c r="D108" s="89" t="s">
        <v>517</v>
      </c>
      <c r="E108" s="57" t="str">
        <f>INDEX(Calculs,$E$2,118)</f>
        <v>Actif (bilan):Matiéres premiéres, approvisionnements Amortissement année N</v>
      </c>
      <c r="I108" s="7" t="str">
        <f t="shared" si="0"/>
        <v>BM</v>
      </c>
      <c r="K108" s="7" t="str">
        <f t="shared" si="5"/>
        <v>BM(N1)</v>
      </c>
      <c r="L108" s="163" t="str">
        <f>IFERROR(VLOOKUP(D108,Transco!B:E,4,FALSE),"")</f>
        <v>=INDEX(Liste;$E$2;118)</v>
      </c>
      <c r="M108" s="7" t="str">
        <f>IFERROR(VLOOKUP(J108,Transco!B:E,4,FALSE),"")</f>
        <v/>
      </c>
      <c r="N108" s="7" t="str">
        <f>IFERROR(VLOOKUP(K108,Transco!B:E,4,FALSE),"")</f>
        <v/>
      </c>
      <c r="O108" s="84" t="s">
        <v>2962</v>
      </c>
      <c r="P108" s="81" t="str">
        <f>INDEX(Calculs,$E$2,74)</f>
        <v>Actif (bilan):Différence de premiére consolidation brut Année N</v>
      </c>
    </row>
    <row r="109" spans="2:16" x14ac:dyDescent="0.2">
      <c r="B109" s="39" t="s">
        <v>1632</v>
      </c>
      <c r="C109" s="40"/>
      <c r="D109" s="89" t="s">
        <v>490</v>
      </c>
      <c r="E109" s="57" t="str">
        <f>INDEX(Calculs,$E$2,89)</f>
        <v>Actif (bilan):En cours de production de biens brut Année N</v>
      </c>
      <c r="F109" s="71" t="str">
        <f>INDEX(Calculs,$E$2,87)</f>
        <v>Actif (bilan):En cours de production de biens Net année N</v>
      </c>
      <c r="G109" s="71" t="str">
        <f>INDEX(Calculs,$E$2,88)</f>
        <v>Actif (bilan):En cours de production de biens Net année N-1</v>
      </c>
      <c r="I109" s="7" t="str">
        <f t="shared" si="0"/>
        <v>BN</v>
      </c>
      <c r="J109" s="7" t="str">
        <f>D109&amp;"-"&amp;D110</f>
        <v>BN-BO</v>
      </c>
      <c r="K109" s="7" t="str">
        <f t="shared" si="5"/>
        <v>BN(N1)</v>
      </c>
      <c r="L109" s="163" t="str">
        <f>IFERROR(VLOOKUP(D109,Transco!B:E,4,FALSE),"")</f>
        <v>=INDEX(Liste;$E$2;89)</v>
      </c>
      <c r="M109" s="7" t="str">
        <f>IFERROR(VLOOKUP(J109,Transco!B:E,4,FALSE),"")</f>
        <v>=INDEX(Liste;$E$2;87)</v>
      </c>
      <c r="N109" s="7" t="str">
        <f>IFERROR(VLOOKUP(K109,Transco!B:E,4,FALSE),"")</f>
        <v>=INDEX(Liste;$E$2;88)</v>
      </c>
      <c r="O109" s="84" t="s">
        <v>2963</v>
      </c>
      <c r="P109" s="81" t="str">
        <f>INDEX(Calculs,$E$2,75)</f>
        <v>Actif (bilan):Disponibilités Amortissement année N</v>
      </c>
    </row>
    <row r="110" spans="2:16" x14ac:dyDescent="0.2">
      <c r="B110" s="75" t="s">
        <v>1600</v>
      </c>
      <c r="C110" s="40"/>
      <c r="D110" s="89" t="s">
        <v>487</v>
      </c>
      <c r="E110" s="57" t="str">
        <f>INDEX(Calculs,$E$2,86)</f>
        <v>Actif (bilan):En cours de production de biens Amortissement année N</v>
      </c>
      <c r="I110" s="7" t="str">
        <f t="shared" si="0"/>
        <v>BO</v>
      </c>
      <c r="K110" s="7" t="str">
        <f t="shared" si="5"/>
        <v>BO(N1)</v>
      </c>
      <c r="L110" s="163" t="str">
        <f>IFERROR(VLOOKUP(D110,Transco!B:E,4,FALSE),"")</f>
        <v>=INDEX(Liste;$E$2;86)</v>
      </c>
      <c r="M110" s="7" t="str">
        <f>IFERROR(VLOOKUP(J110,Transco!B:E,4,FALSE),"")</f>
        <v/>
      </c>
      <c r="N110" s="7" t="str">
        <f>IFERROR(VLOOKUP(K110,Transco!B:E,4,FALSE),"")</f>
        <v/>
      </c>
      <c r="O110" s="84" t="s">
        <v>2964</v>
      </c>
      <c r="P110" s="81" t="str">
        <f>INDEX(Calculs,$E$2,76)</f>
        <v>Actif (bilan):Disponibilités Net année N</v>
      </c>
    </row>
    <row r="111" spans="2:16" x14ac:dyDescent="0.2">
      <c r="B111" s="39" t="s">
        <v>1633</v>
      </c>
      <c r="C111" s="40"/>
      <c r="D111" s="89" t="s">
        <v>494</v>
      </c>
      <c r="E111" s="57" t="str">
        <f>INDEX(Calculs,$E$2,93)</f>
        <v>Actif (bilan):En cours de production de services brut Année N</v>
      </c>
      <c r="F111" s="71" t="str">
        <f>INDEX(Calculs,$E$2,91)</f>
        <v>Actif (bilan):En cours de production de services Net année N</v>
      </c>
      <c r="G111" s="71" t="str">
        <f>INDEX(Calculs,$E$2,92)</f>
        <v>Actif (bilan):En cours de production de services Net année N-1</v>
      </c>
      <c r="I111" s="7" t="str">
        <f t="shared" si="0"/>
        <v>BP</v>
      </c>
      <c r="J111" s="7" t="str">
        <f>D111&amp;"-"&amp;D112</f>
        <v>BP-BQ</v>
      </c>
      <c r="K111" s="7" t="str">
        <f t="shared" si="5"/>
        <v>BP(N1)</v>
      </c>
      <c r="L111" s="163" t="str">
        <f>IFERROR(VLOOKUP(D111,Transco!B:E,4,FALSE),"")</f>
        <v>=INDEX(Liste;$E$2;93)</v>
      </c>
      <c r="M111" s="7" t="str">
        <f>IFERROR(VLOOKUP(J111,Transco!B:E,4,FALSE),"")</f>
        <v>=INDEX(Liste;$E$2;91)</v>
      </c>
      <c r="N111" s="7" t="str">
        <f>IFERROR(VLOOKUP(K111,Transco!B:E,4,FALSE),"")</f>
        <v>=INDEX(Liste;$E$2;92)</v>
      </c>
      <c r="O111" s="84" t="s">
        <v>2965</v>
      </c>
      <c r="P111" s="81" t="str">
        <f>INDEX(Calculs,$E$2,77)</f>
        <v>Actif (bilan):Disponibilités Net année N-1</v>
      </c>
    </row>
    <row r="112" spans="2:16" x14ac:dyDescent="0.2">
      <c r="B112" s="75" t="s">
        <v>1600</v>
      </c>
      <c r="C112" s="40"/>
      <c r="D112" s="89" t="s">
        <v>491</v>
      </c>
      <c r="E112" s="57" t="str">
        <f>INDEX(Calculs,$E$2,90)</f>
        <v>Actif (bilan):En cours de production de services Amortissement année N</v>
      </c>
      <c r="I112" s="7" t="str">
        <f t="shared" ref="I112:I175" si="6">D112</f>
        <v>BQ</v>
      </c>
      <c r="K112" s="7" t="str">
        <f t="shared" si="5"/>
        <v>BQ(N1)</v>
      </c>
      <c r="L112" s="163" t="str">
        <f>IFERROR(VLOOKUP(D112,Transco!B:E,4,FALSE),"")</f>
        <v>=INDEX(Liste;$E$2;90)</v>
      </c>
      <c r="M112" s="7" t="str">
        <f>IFERROR(VLOOKUP(J112,Transco!B:E,4,FALSE),"")</f>
        <v/>
      </c>
      <c r="N112" s="7" t="str">
        <f>IFERROR(VLOOKUP(K112,Transco!B:E,4,FALSE),"")</f>
        <v/>
      </c>
      <c r="O112" s="84" t="s">
        <v>2966</v>
      </c>
      <c r="P112" s="81" t="str">
        <f>INDEX(Calculs,$E$2,78)</f>
        <v>Actif (bilan):Disponibilités brut Année N</v>
      </c>
    </row>
    <row r="113" spans="2:16" x14ac:dyDescent="0.2">
      <c r="B113" s="39" t="s">
        <v>1634</v>
      </c>
      <c r="C113" s="40"/>
      <c r="D113" s="89" t="s">
        <v>534</v>
      </c>
      <c r="E113" s="57" t="str">
        <f>INDEX(Calculs,$E$2,136)</f>
        <v>Actif (bilan):Produits intermédiaires et finis brut Année N</v>
      </c>
      <c r="F113" s="71" t="str">
        <f>INDEX(Calculs,$E$2,134)</f>
        <v>Actif (bilan):Produits intermédiaires et finis Net année N</v>
      </c>
      <c r="G113" s="71" t="str">
        <f>INDEX(Calculs,$E$2,135)</f>
        <v>Actif (bilan):Produits intermédiaires et finis Net année N-1</v>
      </c>
      <c r="I113" s="7" t="str">
        <f t="shared" si="6"/>
        <v>BR</v>
      </c>
      <c r="J113" s="7" t="str">
        <f>D113&amp;"-"&amp;D114</f>
        <v>BR-BS</v>
      </c>
      <c r="K113" s="7" t="str">
        <f t="shared" si="5"/>
        <v>BR(N1)</v>
      </c>
      <c r="L113" s="163" t="str">
        <f>IFERROR(VLOOKUP(D113,Transco!B:E,4,FALSE),"")</f>
        <v>=INDEX(Liste;$E$2;136)</v>
      </c>
      <c r="M113" s="7" t="str">
        <f>IFERROR(VLOOKUP(J113,Transco!B:E,4,FALSE),"")</f>
        <v>=INDEX(Liste;$E$2;134)</v>
      </c>
      <c r="N113" s="7" t="str">
        <f>IFERROR(VLOOKUP(K113,Transco!B:E,4,FALSE),"")</f>
        <v>=INDEX(Liste;$E$2;135)</v>
      </c>
      <c r="O113" s="84" t="s">
        <v>2967</v>
      </c>
      <c r="P113" s="81" t="str">
        <f>INDEX(Calculs,$E$2,79)</f>
        <v>Actif (bilan):Ecarts de conversion actif (V) Net année N</v>
      </c>
    </row>
    <row r="114" spans="2:16" x14ac:dyDescent="0.2">
      <c r="B114" s="75" t="s">
        <v>1600</v>
      </c>
      <c r="C114" s="40"/>
      <c r="D114" s="89" t="s">
        <v>531</v>
      </c>
      <c r="E114" s="57" t="str">
        <f>INDEX(Calculs,$E$2,133)</f>
        <v>Actif (bilan):Produits intermédiaires et finis Amortissement année N</v>
      </c>
      <c r="I114" s="7" t="str">
        <f t="shared" si="6"/>
        <v>BS</v>
      </c>
      <c r="K114" s="7" t="str">
        <f t="shared" si="5"/>
        <v>BS(N1)</v>
      </c>
      <c r="L114" s="163" t="str">
        <f>IFERROR(VLOOKUP(D114,Transco!B:E,4,FALSE),"")</f>
        <v>=INDEX(Liste;$E$2;133)</v>
      </c>
      <c r="M114" s="7" t="str">
        <f>IFERROR(VLOOKUP(J114,Transco!B:E,4,FALSE),"")</f>
        <v/>
      </c>
      <c r="N114" s="7" t="str">
        <f>IFERROR(VLOOKUP(K114,Transco!B:E,4,FALSE),"")</f>
        <v/>
      </c>
      <c r="O114" s="84" t="s">
        <v>2968</v>
      </c>
      <c r="P114" s="81" t="str">
        <f>INDEX(Calculs,$E$2,80)</f>
        <v>Actif (bilan):Ecarts de conversion actif (V) Net année N-1</v>
      </c>
    </row>
    <row r="115" spans="2:16" x14ac:dyDescent="0.2">
      <c r="B115" s="39" t="s">
        <v>1635</v>
      </c>
      <c r="C115" s="40"/>
      <c r="D115" s="89" t="s">
        <v>516</v>
      </c>
      <c r="E115" s="57" t="str">
        <f>INDEX(Calculs,$E$2,117)</f>
        <v>Actif (bilan):Marchandises brut Année N</v>
      </c>
      <c r="F115" s="71" t="str">
        <f>INDEX(Calculs,$E$2,115)</f>
        <v>Actif (bilan):Marchandises Net année N</v>
      </c>
      <c r="G115" s="71" t="str">
        <f>INDEX(Calculs,$E$2,116)</f>
        <v>Actif (bilan):Marchandises Net année N-1</v>
      </c>
      <c r="I115" s="7" t="str">
        <f t="shared" si="6"/>
        <v>BT</v>
      </c>
      <c r="J115" s="7" t="str">
        <f>D115&amp;"-"&amp;D116</f>
        <v>BT-BU</v>
      </c>
      <c r="K115" s="7" t="str">
        <f t="shared" si="5"/>
        <v>BT(N1)</v>
      </c>
      <c r="L115" s="163" t="str">
        <f>IFERROR(VLOOKUP(D115,Transco!B:E,4,FALSE),"")</f>
        <v>=INDEX(Liste;$E$2;117)</v>
      </c>
      <c r="M115" s="7" t="str">
        <f>IFERROR(VLOOKUP(J115,Transco!B:E,4,FALSE),"")</f>
        <v>=INDEX(Liste;$E$2;115)</v>
      </c>
      <c r="N115" s="7" t="str">
        <f>IFERROR(VLOOKUP(K115,Transco!B:E,4,FALSE),"")</f>
        <v>=INDEX(Liste;$E$2;116)</v>
      </c>
      <c r="O115" s="84" t="s">
        <v>2969</v>
      </c>
      <c r="P115" s="81" t="str">
        <f>INDEX(Calculs,$E$2,81)</f>
        <v>Actif (bilan):Ecarts de conversion actif (V) brut Année N</v>
      </c>
    </row>
    <row r="116" spans="2:16" x14ac:dyDescent="0.2">
      <c r="B116" s="75" t="s">
        <v>1600</v>
      </c>
      <c r="C116" s="40"/>
      <c r="D116" s="89" t="s">
        <v>513</v>
      </c>
      <c r="E116" s="57" t="str">
        <f>INDEX(Calculs,$E$2,114)</f>
        <v>Actif (bilan):Marchandises Amortissement année N</v>
      </c>
      <c r="I116" s="7" t="str">
        <f t="shared" si="6"/>
        <v>BU</v>
      </c>
      <c r="K116" s="7" t="str">
        <f t="shared" si="5"/>
        <v>BU(N1)</v>
      </c>
      <c r="L116" s="163" t="str">
        <f>IFERROR(VLOOKUP(D116,Transco!B:E,4,FALSE),"")</f>
        <v>=INDEX(Liste;$E$2;114)</v>
      </c>
      <c r="M116" s="7" t="str">
        <f>IFERROR(VLOOKUP(J116,Transco!B:E,4,FALSE),"")</f>
        <v/>
      </c>
      <c r="N116" s="7" t="str">
        <f>IFERROR(VLOOKUP(K116,Transco!B:E,4,FALSE),"")</f>
        <v/>
      </c>
      <c r="O116" s="84" t="s">
        <v>146</v>
      </c>
      <c r="P116" s="81" t="str">
        <f>INDEX(Calculs,$E$2,82)</f>
        <v>Actif (bilan):Ecarts d'acquisition Amortissement année N</v>
      </c>
    </row>
    <row r="117" spans="2:16" x14ac:dyDescent="0.2">
      <c r="D117" s="1"/>
      <c r="I117" s="7">
        <f t="shared" si="6"/>
        <v>0</v>
      </c>
      <c r="L117" s="163" t="str">
        <f>IFERROR(VLOOKUP(D117,Transco!B:E,4,FALSE),"")</f>
        <v/>
      </c>
      <c r="M117" s="7" t="str">
        <f>IFERROR(VLOOKUP(J117,Transco!B:E,4,FALSE),"")</f>
        <v/>
      </c>
      <c r="N117" s="7" t="str">
        <f>IFERROR(VLOOKUP(K117,Transco!B:E,4,FALSE),"")</f>
        <v/>
      </c>
      <c r="O117" s="84" t="s">
        <v>2970</v>
      </c>
      <c r="P117" s="81" t="str">
        <f>INDEX(Calculs,$E$2,83)</f>
        <v>Actif (bilan):Ecarts d'acquisition Net année N</v>
      </c>
    </row>
    <row r="118" spans="2:16" x14ac:dyDescent="0.2">
      <c r="B118" s="105" t="s">
        <v>1636</v>
      </c>
      <c r="C118" s="38"/>
      <c r="D118" s="90"/>
      <c r="E118" s="103"/>
      <c r="I118" s="7">
        <f t="shared" si="6"/>
        <v>0</v>
      </c>
      <c r="L118" s="163" t="str">
        <f>IFERROR(VLOOKUP(D118,Transco!B:E,4,FALSE),"")</f>
        <v/>
      </c>
      <c r="M118" s="7" t="str">
        <f>IFERROR(VLOOKUP(J118,Transco!B:E,4,FALSE),"")</f>
        <v/>
      </c>
      <c r="N118" s="7" t="str">
        <f>IFERROR(VLOOKUP(K118,Transco!B:E,4,FALSE),"")</f>
        <v/>
      </c>
      <c r="O118" s="84" t="s">
        <v>2971</v>
      </c>
      <c r="P118" s="81" t="str">
        <f>INDEX(Calculs,$E$2,84)</f>
        <v>Actif (bilan):Ecarts d'acquisition Net année N-1</v>
      </c>
    </row>
    <row r="119" spans="2:16" x14ac:dyDescent="0.2">
      <c r="B119" s="39" t="s">
        <v>1637</v>
      </c>
      <c r="C119" s="40"/>
      <c r="D119" s="89" t="s">
        <v>444</v>
      </c>
      <c r="E119" s="57" t="str">
        <f>INDEX(Calculs,$E$2,40)</f>
        <v>Actif (bilan):Avances et acomptes versés sur commandes brut Année N</v>
      </c>
      <c r="F119" s="71" t="str">
        <f>INDEX(Calculs,$E$2,38)</f>
        <v>Actif (bilan):Avances et acomptes versés sur commandes Net année N</v>
      </c>
      <c r="G119" s="71" t="str">
        <f>INDEX(Calculs,$E$2,39)</f>
        <v>Actif (bilan):Avances et acomptes versés sur commandes Net année N-1</v>
      </c>
      <c r="I119" s="7" t="str">
        <f t="shared" si="6"/>
        <v>BV</v>
      </c>
      <c r="J119" s="7" t="str">
        <f>D119&amp;"-"&amp;D120</f>
        <v>BV-BW</v>
      </c>
      <c r="K119" s="7" t="str">
        <f t="shared" ref="K119:K132" si="7">D119&amp;"(N1)"</f>
        <v>BV(N1)</v>
      </c>
      <c r="L119" s="163" t="str">
        <f>IFERROR(VLOOKUP(D119,Transco!B:E,4,FALSE),"")</f>
        <v>=INDEX(Liste;$E$2;40)</v>
      </c>
      <c r="M119" s="7" t="str">
        <f>IFERROR(VLOOKUP(J119,Transco!B:E,4,FALSE),"")</f>
        <v>=INDEX(Liste;$E$2;38)</v>
      </c>
      <c r="N119" s="7" t="str">
        <f>IFERROR(VLOOKUP(K119,Transco!B:E,4,FALSE),"")</f>
        <v>=INDEX(Liste;$E$2;39)</v>
      </c>
      <c r="O119" s="84" t="s">
        <v>2972</v>
      </c>
      <c r="P119" s="81" t="str">
        <f>INDEX(Calculs,$E$2,85)</f>
        <v>Actif (bilan):Ecarts d'acquisition brut Année N</v>
      </c>
    </row>
    <row r="120" spans="2:16" x14ac:dyDescent="0.2">
      <c r="B120" s="75" t="s">
        <v>1600</v>
      </c>
      <c r="C120" s="40"/>
      <c r="D120" s="89" t="s">
        <v>441</v>
      </c>
      <c r="E120" s="57" t="str">
        <f>INDEX(Calculs,$E$2,37)</f>
        <v>Actif (bilan):Avances et acomptes versés sur commandes Amortissement année N</v>
      </c>
      <c r="I120" s="7" t="str">
        <f t="shared" si="6"/>
        <v>BW</v>
      </c>
      <c r="K120" s="7" t="str">
        <f t="shared" si="7"/>
        <v>BW(N1)</v>
      </c>
      <c r="L120" s="163" t="str">
        <f>IFERROR(VLOOKUP(D120,Transco!B:E,4,FALSE),"")</f>
        <v>=INDEX(Liste;$E$2;37)</v>
      </c>
      <c r="M120" s="7" t="str">
        <f>IFERROR(VLOOKUP(J120,Transco!B:E,4,FALSE),"")</f>
        <v/>
      </c>
      <c r="N120" s="7" t="str">
        <f>IFERROR(VLOOKUP(K120,Transco!B:E,4,FALSE),"")</f>
        <v/>
      </c>
      <c r="O120" s="84" t="s">
        <v>2973</v>
      </c>
      <c r="P120" s="81" t="str">
        <f>INDEX(Calculs,$E$2,86)</f>
        <v>Actif (bilan):En cours de production de biens Amortissement année N</v>
      </c>
    </row>
    <row r="121" spans="2:16" x14ac:dyDescent="0.2">
      <c r="B121" s="39" t="s">
        <v>1638</v>
      </c>
      <c r="C121" s="40"/>
      <c r="D121" s="89" t="s">
        <v>460</v>
      </c>
      <c r="E121" s="57" t="str">
        <f>INDEX(Calculs,$E$2,58)</f>
        <v>Actif (bilan):Clients et comptes rattachés brut Année N</v>
      </c>
      <c r="F121" s="71" t="str">
        <f>INDEX(Calculs,$E$2,56)</f>
        <v>Actif (bilan):Clients et comptes rattachés Net année N</v>
      </c>
      <c r="G121" s="71" t="str">
        <f>INDEX(Calculs,$E$2,57)</f>
        <v>Actif (bilan):Clients et comptes rattachés Net année N-1</v>
      </c>
      <c r="I121" s="7" t="str">
        <f t="shared" si="6"/>
        <v>BX</v>
      </c>
      <c r="J121" s="7" t="str">
        <f>D121&amp;"-"&amp;D122</f>
        <v>BX-BY</v>
      </c>
      <c r="K121" s="7" t="str">
        <f t="shared" si="7"/>
        <v>BX(N1)</v>
      </c>
      <c r="L121" s="163" t="str">
        <f>IFERROR(VLOOKUP(D121,Transco!B:E,4,FALSE),"")</f>
        <v>=INDEX(Liste;$E$2;58)</v>
      </c>
      <c r="M121" s="7" t="str">
        <f>IFERROR(VLOOKUP(J121,Transco!B:E,4,FALSE),"")</f>
        <v>=INDEX(Liste;$E$2;56)</v>
      </c>
      <c r="N121" s="7" t="str">
        <f>IFERROR(VLOOKUP(K121,Transco!B:E,4,FALSE),"")</f>
        <v>=INDEX(Liste;$E$2;57)</v>
      </c>
      <c r="O121" s="84" t="s">
        <v>2974</v>
      </c>
      <c r="P121" s="81" t="str">
        <f>INDEX(Calculs,$E$2,87)</f>
        <v>Actif (bilan):En cours de production de biens Net année N</v>
      </c>
    </row>
    <row r="122" spans="2:16" x14ac:dyDescent="0.2">
      <c r="B122" s="75" t="s">
        <v>1600</v>
      </c>
      <c r="C122" s="40"/>
      <c r="D122" s="89" t="s">
        <v>457</v>
      </c>
      <c r="E122" s="57" t="str">
        <f>INDEX(Calculs,$E$2,55)</f>
        <v>Actif (bilan):Clients et comptes rattachés Amortissement année N</v>
      </c>
      <c r="I122" s="7" t="str">
        <f t="shared" si="6"/>
        <v>BY</v>
      </c>
      <c r="K122" s="7" t="str">
        <f t="shared" si="7"/>
        <v>BY(N1)</v>
      </c>
      <c r="L122" s="163" t="str">
        <f>IFERROR(VLOOKUP(D122,Transco!B:E,4,FALSE),"")</f>
        <v>=INDEX(Liste;$E$2;55)</v>
      </c>
      <c r="M122" s="7" t="str">
        <f>IFERROR(VLOOKUP(J122,Transco!B:E,4,FALSE),"")</f>
        <v/>
      </c>
      <c r="N122" s="7" t="str">
        <f>IFERROR(VLOOKUP(K122,Transco!B:E,4,FALSE),"")</f>
        <v/>
      </c>
      <c r="O122" s="84" t="s">
        <v>2975</v>
      </c>
      <c r="P122" s="81" t="str">
        <f>INDEX(Calculs,$E$2,88)</f>
        <v>Actif (bilan):En cours de production de biens Net année N-1</v>
      </c>
    </row>
    <row r="123" spans="2:16" x14ac:dyDescent="0.2">
      <c r="B123" s="39" t="s">
        <v>1639</v>
      </c>
      <c r="C123" s="40"/>
      <c r="D123" s="89" t="s">
        <v>412</v>
      </c>
      <c r="E123" s="57" t="str">
        <f>INDEX(Calculs,$E$2,8)</f>
        <v>Actif (bilan):Autres créances brut Année N</v>
      </c>
      <c r="F123" s="71" t="str">
        <f>INDEX(Calculs,$E$2,6)</f>
        <v>Actif (bilan):Autres créances Net année N</v>
      </c>
      <c r="G123" s="71"/>
      <c r="I123" s="7" t="str">
        <f t="shared" si="6"/>
        <v>BZ</v>
      </c>
      <c r="J123" s="7" t="str">
        <f>D123&amp;"-"&amp;D124</f>
        <v>BZ-CA</v>
      </c>
      <c r="K123" s="7" t="str">
        <f t="shared" si="7"/>
        <v>BZ(N1)</v>
      </c>
      <c r="L123" s="163" t="str">
        <f>IFERROR(VLOOKUP(D123,Transco!B:E,4,FALSE),"")</f>
        <v>=INDEX(Liste;$E$2;8)</v>
      </c>
      <c r="M123" s="7" t="str">
        <f>IFERROR(VLOOKUP(J123,Transco!B:E,4,FALSE),"")</f>
        <v>=INDEX(Liste;$E$2;6)</v>
      </c>
      <c r="N123" s="7" t="str">
        <f>IFERROR(VLOOKUP(K123,Transco!B:E,4,FALSE),"")</f>
        <v/>
      </c>
      <c r="O123" s="84" t="s">
        <v>2976</v>
      </c>
      <c r="P123" s="81" t="str">
        <f>INDEX(Calculs,$E$2,89)</f>
        <v>Actif (bilan):En cours de production de biens brut Année N</v>
      </c>
    </row>
    <row r="124" spans="2:16" x14ac:dyDescent="0.2">
      <c r="B124" s="75" t="s">
        <v>1600</v>
      </c>
      <c r="C124" s="40"/>
      <c r="D124" s="89" t="s">
        <v>409</v>
      </c>
      <c r="E124" s="57" t="str">
        <f>INDEX(Calculs,$E$2,5)</f>
        <v>Actif (bilan):Autres créances Amortissement année N</v>
      </c>
      <c r="I124" s="7" t="str">
        <f t="shared" si="6"/>
        <v>CA</v>
      </c>
      <c r="K124" s="7" t="str">
        <f t="shared" si="7"/>
        <v>CA(N1)</v>
      </c>
      <c r="L124" s="163" t="str">
        <f>IFERROR(VLOOKUP(D124,Transco!B:E,4,FALSE),"")</f>
        <v>=INDEX(Liste;$E$2;5)</v>
      </c>
      <c r="M124" s="7" t="str">
        <f>IFERROR(VLOOKUP(J124,Transco!B:E,4,FALSE),"")</f>
        <v/>
      </c>
      <c r="N124" s="7" t="str">
        <f>IFERROR(VLOOKUP(K124,Transco!B:E,4,FALSE),"")</f>
        <v/>
      </c>
      <c r="O124" s="84" t="s">
        <v>154</v>
      </c>
      <c r="P124" s="81" t="str">
        <f>INDEX(Calculs,$E$2,90)</f>
        <v>Actif (bilan):En cours de production de services Amortissement année N</v>
      </c>
    </row>
    <row r="125" spans="2:16" x14ac:dyDescent="0.2">
      <c r="B125" s="39" t="s">
        <v>1640</v>
      </c>
      <c r="C125" s="40"/>
      <c r="D125" s="89" t="s">
        <v>448</v>
      </c>
      <c r="E125" s="57" t="str">
        <f>INDEX(Calculs,$E$2,44)</f>
        <v>Actif (bilan):Capital souscrit et appelé, non versé brut Année N</v>
      </c>
      <c r="F125" s="71" t="str">
        <f>INDEX(Calculs,$E$2,42)</f>
        <v>Actif (bilan):Capital souscrit et appelé, non versé Net année N</v>
      </c>
      <c r="G125" s="71" t="str">
        <f>INDEX(Calculs,$E$2,43)</f>
        <v>Actif (bilan):Capital souscrit et appelé, non versé Net année N-1</v>
      </c>
      <c r="I125" s="7" t="str">
        <f t="shared" si="6"/>
        <v>CB</v>
      </c>
      <c r="J125" s="7" t="str">
        <f>D125&amp;"-"&amp;D126</f>
        <v>CB-CC</v>
      </c>
      <c r="K125" s="7" t="str">
        <f t="shared" si="7"/>
        <v>CB(N1)</v>
      </c>
      <c r="L125" s="163" t="str">
        <f>IFERROR(VLOOKUP(D125,Transco!B:E,4,FALSE),"")</f>
        <v>=INDEX(Liste;$E$2;44)</v>
      </c>
      <c r="M125" s="7" t="str">
        <f>IFERROR(VLOOKUP(J125,Transco!B:E,4,FALSE),"")</f>
        <v>=INDEX(Liste;$E$2;42)</v>
      </c>
      <c r="N125" s="7" t="str">
        <f>IFERROR(VLOOKUP(K125,Transco!B:E,4,FALSE),"")</f>
        <v>=INDEX(Liste;$E$2;43)</v>
      </c>
      <c r="O125" s="84" t="s">
        <v>2977</v>
      </c>
      <c r="P125" s="81" t="str">
        <f>INDEX(Calculs,$E$2,91)</f>
        <v>Actif (bilan):En cours de production de services Net année N</v>
      </c>
    </row>
    <row r="126" spans="2:16" x14ac:dyDescent="0.2">
      <c r="B126" s="48" t="s">
        <v>1600</v>
      </c>
      <c r="C126" s="40"/>
      <c r="D126" s="89" t="s">
        <v>445</v>
      </c>
      <c r="E126" s="57" t="str">
        <f>INDEX(Calculs,$E$2,41)</f>
        <v>Actif (bilan):Capital souscrit et appelé, non versé Amortissement année N</v>
      </c>
      <c r="I126" s="7" t="str">
        <f t="shared" si="6"/>
        <v>CC</v>
      </c>
      <c r="K126" s="7" t="str">
        <f t="shared" si="7"/>
        <v>CC(N1)</v>
      </c>
      <c r="L126" s="163" t="str">
        <f>IFERROR(VLOOKUP(D126,Transco!B:E,4,FALSE),"")</f>
        <v>=INDEX(Liste;$E$2;41)</v>
      </c>
      <c r="M126" s="7" t="str">
        <f>IFERROR(VLOOKUP(J126,Transco!B:E,4,FALSE),"")</f>
        <v/>
      </c>
      <c r="N126" s="7" t="str">
        <f>IFERROR(VLOOKUP(K126,Transco!B:E,4,FALSE),"")</f>
        <v/>
      </c>
      <c r="O126" s="84" t="s">
        <v>2978</v>
      </c>
      <c r="P126" s="81" t="str">
        <f>INDEX(Calculs,$E$2,92)</f>
        <v>Actif (bilan):En cours de production de services Net année N-1</v>
      </c>
    </row>
    <row r="127" spans="2:16" x14ac:dyDescent="0.2">
      <c r="B127" s="39" t="s">
        <v>1641</v>
      </c>
      <c r="C127" s="40"/>
      <c r="D127" s="89" t="s">
        <v>556</v>
      </c>
      <c r="E127" s="117" t="str">
        <f>INDEX(Calculs,$E$2,164)</f>
        <v>Actif (bilan):Valeurs mobiliéres de placement brut Année N</v>
      </c>
      <c r="F127" s="71" t="str">
        <f>INDEX(Calculs,$E$2,162)</f>
        <v>Actif (bilan):Valeurs mobiliéres de placement Net année N</v>
      </c>
      <c r="G127" s="71" t="str">
        <f>INDEX(Calculs,$E$2,163)</f>
        <v>Actif (bilan):Valeurs mobiliéres de placement Net année N-1</v>
      </c>
      <c r="I127" s="7" t="str">
        <f t="shared" si="6"/>
        <v>CD</v>
      </c>
      <c r="J127" s="7" t="str">
        <f>D127&amp;"-"&amp;D128</f>
        <v>CD-CE</v>
      </c>
      <c r="K127" s="7" t="str">
        <f t="shared" si="7"/>
        <v>CD(N1)</v>
      </c>
      <c r="L127" s="163" t="str">
        <f>IFERROR(VLOOKUP(D127,Transco!B:E,4,FALSE),"")</f>
        <v>=INDEX(Liste;$E$2;164)</v>
      </c>
      <c r="M127" s="7" t="str">
        <f>IFERROR(VLOOKUP(J127,Transco!B:E,4,FALSE),"")</f>
        <v>=INDEX(Liste;$E$2;162)</v>
      </c>
      <c r="N127" s="7" t="str">
        <f>IFERROR(VLOOKUP(K127,Transco!B:E,4,FALSE),"")</f>
        <v>=INDEX(Liste;$E$2;163)</v>
      </c>
      <c r="O127" s="84" t="s">
        <v>2979</v>
      </c>
      <c r="P127" s="81" t="str">
        <f>INDEX(Calculs,$E$2,93)</f>
        <v>Actif (bilan):En cours de production de services brut Année N</v>
      </c>
    </row>
    <row r="128" spans="2:16" x14ac:dyDescent="0.2">
      <c r="B128" s="75" t="s">
        <v>1600</v>
      </c>
      <c r="C128" s="40"/>
      <c r="D128" s="89" t="s">
        <v>553</v>
      </c>
      <c r="E128" s="117" t="str">
        <f>INDEX(Calculs,$E$2,161)</f>
        <v>Actif (bilan):Valeurs mobiliéres de placement Amortissement année N</v>
      </c>
      <c r="I128" s="7" t="str">
        <f t="shared" si="6"/>
        <v>CE</v>
      </c>
      <c r="K128" s="7" t="str">
        <f t="shared" si="7"/>
        <v>CE(N1)</v>
      </c>
      <c r="L128" s="163" t="str">
        <f>IFERROR(VLOOKUP(D128,Transco!B:E,4,FALSE),"")</f>
        <v>=INDEX(Liste;$E$2;161)</v>
      </c>
      <c r="M128" s="7" t="str">
        <f>IFERROR(VLOOKUP(J128,Transco!B:E,4,FALSE),"")</f>
        <v/>
      </c>
      <c r="N128" s="7" t="str">
        <f>IFERROR(VLOOKUP(K128,Transco!B:E,4,FALSE),"")</f>
        <v/>
      </c>
      <c r="O128" s="84" t="s">
        <v>158</v>
      </c>
      <c r="P128" s="81" t="str">
        <f>INDEX(Calculs,$E$2,94)</f>
        <v>Actif (bilan):Fonds commercial Amortissement année N</v>
      </c>
    </row>
    <row r="129" spans="2:16" x14ac:dyDescent="0.2">
      <c r="B129" s="39" t="s">
        <v>1642</v>
      </c>
      <c r="C129" s="40"/>
      <c r="D129" s="89" t="s">
        <v>480</v>
      </c>
      <c r="E129" s="57" t="str">
        <f>INDEX(Calculs,$E$2,78)</f>
        <v>Actif (bilan):Disponibilités brut Année N</v>
      </c>
      <c r="F129" s="71" t="str">
        <f>INDEX(Calculs,$E$2,76)</f>
        <v>Actif (bilan):Disponibilités Net année N</v>
      </c>
      <c r="G129" s="71" t="str">
        <f>INDEX(Calculs,$E$2,77)</f>
        <v>Actif (bilan):Disponibilités Net année N-1</v>
      </c>
      <c r="I129" s="7" t="str">
        <f t="shared" si="6"/>
        <v>CF</v>
      </c>
      <c r="J129" s="7" t="str">
        <f>D129&amp;"-"&amp;D130</f>
        <v>CF-CG</v>
      </c>
      <c r="K129" s="7" t="str">
        <f t="shared" si="7"/>
        <v>CF(N1)</v>
      </c>
      <c r="L129" s="163" t="str">
        <f>IFERROR(VLOOKUP(D129,Transco!B:E,4,FALSE),"")</f>
        <v>=INDEX(Liste;$E$2;78)</v>
      </c>
      <c r="M129" s="7" t="str">
        <f>IFERROR(VLOOKUP(J129,Transco!B:E,4,FALSE),"")</f>
        <v>=INDEX(Liste;$E$2;76)</v>
      </c>
      <c r="N129" s="7" t="str">
        <f>IFERROR(VLOOKUP(K129,Transco!B:E,4,FALSE),"")</f>
        <v>=INDEX(Liste;$E$2;77)</v>
      </c>
      <c r="O129" s="84" t="s">
        <v>2980</v>
      </c>
      <c r="P129" s="81" t="str">
        <f>INDEX(Calculs,$E$2,95)</f>
        <v>Actif (bilan):Fonds commercial Net année N</v>
      </c>
    </row>
    <row r="130" spans="2:16" x14ac:dyDescent="0.2">
      <c r="B130" s="75" t="s">
        <v>1600</v>
      </c>
      <c r="C130" s="40"/>
      <c r="D130" s="89" t="s">
        <v>477</v>
      </c>
      <c r="E130" s="57" t="str">
        <f>INDEX(Calculs,$E$2,75)</f>
        <v>Actif (bilan):Disponibilités Amortissement année N</v>
      </c>
      <c r="I130" s="7" t="str">
        <f t="shared" si="6"/>
        <v>CG</v>
      </c>
      <c r="K130" s="7" t="str">
        <f t="shared" si="7"/>
        <v>CG(N1)</v>
      </c>
      <c r="L130" s="163" t="str">
        <f>IFERROR(VLOOKUP(D130,Transco!B:E,4,FALSE),"")</f>
        <v>=INDEX(Liste;$E$2;75)</v>
      </c>
      <c r="M130" s="7" t="str">
        <f>IFERROR(VLOOKUP(J130,Transco!B:E,4,FALSE),"")</f>
        <v/>
      </c>
      <c r="N130" s="7" t="str">
        <f>IFERROR(VLOOKUP(K130,Transco!B:E,4,FALSE),"")</f>
        <v/>
      </c>
      <c r="O130" s="84" t="s">
        <v>2981</v>
      </c>
      <c r="P130" s="81" t="str">
        <f>INDEX(Calculs,$E$2,96)</f>
        <v>Actif (bilan):Fonds commercial Net année N-1</v>
      </c>
    </row>
    <row r="131" spans="2:16" x14ac:dyDescent="0.2">
      <c r="B131" s="39" t="s">
        <v>1643</v>
      </c>
      <c r="C131" s="40"/>
      <c r="D131" s="89" t="s">
        <v>456</v>
      </c>
      <c r="E131" s="57" t="str">
        <f>INDEX(Calculs,$E$2,54)</f>
        <v>Actif (bilan):Charges constatées d'avance brut Année N</v>
      </c>
      <c r="F131" s="71" t="str">
        <f>INDEX(Calculs,$E$2,52)</f>
        <v>Actif (bilan):Charges constatées d'avance Net année N</v>
      </c>
      <c r="G131" s="71" t="str">
        <f>INDEX(Calculs,$E$2,53)</f>
        <v>Actif (bilan):Charges constatées d'avance Net année N-1</v>
      </c>
      <c r="I131" s="7" t="str">
        <f t="shared" si="6"/>
        <v>CH</v>
      </c>
      <c r="J131" s="7" t="str">
        <f>D131&amp;"-"&amp;D132</f>
        <v>CH-CI</v>
      </c>
      <c r="K131" s="7" t="str">
        <f t="shared" si="7"/>
        <v>CH(N1)</v>
      </c>
      <c r="L131" s="163" t="str">
        <f>IFERROR(VLOOKUP(D131,Transco!B:E,4,FALSE),"")</f>
        <v>=INDEX(Liste;$E$2;54)</v>
      </c>
      <c r="M131" s="7" t="str">
        <f>IFERROR(VLOOKUP(J131,Transco!B:E,4,FALSE),"")</f>
        <v>=INDEX(Liste;$E$2;52)</v>
      </c>
      <c r="N131" s="7" t="str">
        <f>IFERROR(VLOOKUP(K131,Transco!B:E,4,FALSE),"")</f>
        <v>=INDEX(Liste;$E$2;53)</v>
      </c>
      <c r="O131" s="84" t="s">
        <v>2982</v>
      </c>
      <c r="P131" s="81" t="str">
        <f>INDEX(Calculs,$E$2,97)</f>
        <v>Actif (bilan):Fonds commercial brut Année N</v>
      </c>
    </row>
    <row r="132" spans="2:16" x14ac:dyDescent="0.2">
      <c r="B132" s="75" t="s">
        <v>1600</v>
      </c>
      <c r="C132" s="40"/>
      <c r="D132" s="89" t="s">
        <v>453</v>
      </c>
      <c r="E132" s="57" t="str">
        <f>INDEX(Calculs,$E$2,51)</f>
        <v>Actif (bilan):Charges constatées d'avance Amortissement année N</v>
      </c>
      <c r="I132" s="7" t="str">
        <f t="shared" si="6"/>
        <v>CI</v>
      </c>
      <c r="K132" s="7" t="str">
        <f t="shared" si="7"/>
        <v>CI(N1)</v>
      </c>
      <c r="L132" s="163" t="str">
        <f>IFERROR(VLOOKUP(D132,Transco!B:E,4,FALSE),"")</f>
        <v>=INDEX(Liste;$E$2;51)</v>
      </c>
      <c r="M132" s="7" t="str">
        <f>IFERROR(VLOOKUP(J132,Transco!B:E,4,FALSE),"")</f>
        <v/>
      </c>
      <c r="N132" s="7" t="str">
        <f>IFERROR(VLOOKUP(K132,Transco!B:E,4,FALSE),"")</f>
        <v/>
      </c>
      <c r="O132" s="84" t="s">
        <v>162</v>
      </c>
      <c r="P132" s="81" t="str">
        <f>INDEX(Calculs,$E$2,98)</f>
        <v>Actif (bilan):Frais de développement ou de recherche et développement Amortissement année N</v>
      </c>
    </row>
    <row r="133" spans="2:16" x14ac:dyDescent="0.2">
      <c r="I133" s="7">
        <f t="shared" si="6"/>
        <v>0</v>
      </c>
      <c r="L133" s="163" t="str">
        <f>IFERROR(VLOOKUP(D133,Transco!B:E,4,FALSE),"")</f>
        <v/>
      </c>
      <c r="M133" s="7" t="str">
        <f>IFERROR(VLOOKUP(J133,Transco!B:E,4,FALSE),"")</f>
        <v/>
      </c>
      <c r="N133" s="7" t="str">
        <f>IFERROR(VLOOKUP(K133,Transco!B:E,4,FALSE),"")</f>
        <v/>
      </c>
      <c r="O133" s="84" t="s">
        <v>2983</v>
      </c>
      <c r="P133" s="81" t="str">
        <f>INDEX(Calculs,$E$2,99)</f>
        <v>Actif (bilan):Frais de développement ou de recherche et développement Net année N</v>
      </c>
    </row>
    <row r="134" spans="2:16" x14ac:dyDescent="0.2">
      <c r="B134" s="118" t="s">
        <v>1805</v>
      </c>
      <c r="C134" s="119"/>
      <c r="D134" s="120" t="s">
        <v>1644</v>
      </c>
      <c r="E134" s="114" t="str">
        <f>INDEX(Calculs,$E$2,148)</f>
        <v>Actif (bilan):TOTAL (II) brut Année N</v>
      </c>
      <c r="F134" s="115" t="str">
        <f>INDEX(Calculs,$E$2,146)</f>
        <v>Actif (bilan):TOTAL (II) Net année N</v>
      </c>
      <c r="G134" s="115" t="str">
        <f>INDEX(Calculs,$E$2,147)</f>
        <v>Actif (bilan):TOTAL (II) Net année N-1</v>
      </c>
      <c r="I134" s="7" t="str">
        <f t="shared" si="6"/>
        <v>CJ</v>
      </c>
      <c r="J134" s="7" t="str">
        <f>D134&amp;"-"&amp;D135</f>
        <v>CJ-CK</v>
      </c>
      <c r="K134" s="7" t="str">
        <f>D134&amp;"(N1)"</f>
        <v>CJ(N1)</v>
      </c>
      <c r="L134" s="163" t="str">
        <f>IFERROR(VLOOKUP(D134,Transco!B:E,4,FALSE),"")</f>
        <v>=INDEX(Liste;$E$2;148)</v>
      </c>
      <c r="M134" s="7" t="str">
        <f>IFERROR(VLOOKUP(J134,Transco!B:E,4,FALSE),"")</f>
        <v>=INDEX(Liste;$E$2;146)</v>
      </c>
      <c r="N134" s="7" t="str">
        <f>IFERROR(VLOOKUP(K134,Transco!B:E,4,FALSE),"")</f>
        <v>=INDEX(Liste;$E$2;147)</v>
      </c>
      <c r="O134" s="84" t="s">
        <v>2984</v>
      </c>
      <c r="P134" s="81" t="str">
        <f>INDEX(Calculs,$E$2,100)</f>
        <v>Actif (bilan):Frais de développement ou de recherche et développement Net année N-1</v>
      </c>
    </row>
    <row r="135" spans="2:16" x14ac:dyDescent="0.2">
      <c r="B135" s="118" t="s">
        <v>1600</v>
      </c>
      <c r="C135" s="119"/>
      <c r="D135" s="120" t="s">
        <v>1645</v>
      </c>
      <c r="E135" s="114" t="str">
        <f>INDEX(Calculs,$E$2,145)</f>
        <v>Actif (bilan):TOTAL (II) Amortissement année N</v>
      </c>
      <c r="F135" s="116"/>
      <c r="G135" s="116"/>
      <c r="I135" s="7" t="str">
        <f t="shared" si="6"/>
        <v>CK</v>
      </c>
      <c r="K135" s="7" t="str">
        <f>D135&amp;"(N1)"</f>
        <v>CK(N1)</v>
      </c>
      <c r="L135" s="163" t="str">
        <f>IFERROR(VLOOKUP(D135,Transco!B:E,4,FALSE),"")</f>
        <v>=INDEX(Liste;$E$2;145)</v>
      </c>
      <c r="M135" s="7" t="str">
        <f>IFERROR(VLOOKUP(J135,Transco!B:E,4,FALSE),"")</f>
        <v/>
      </c>
      <c r="N135" s="7" t="str">
        <f>IFERROR(VLOOKUP(K135,Transco!B:E,4,FALSE),"")</f>
        <v/>
      </c>
      <c r="O135" s="84" t="s">
        <v>2985</v>
      </c>
      <c r="P135" s="81" t="str">
        <f>INDEX(Calculs,$E$2,101)</f>
        <v>Actif (bilan):Frais de développement ou de recherche et développement brut Année N</v>
      </c>
    </row>
    <row r="136" spans="2:16" x14ac:dyDescent="0.2">
      <c r="I136" s="7">
        <f t="shared" si="6"/>
        <v>0</v>
      </c>
      <c r="L136" s="163" t="str">
        <f>IFERROR(VLOOKUP(D136,Transco!B:E,4,FALSE),"")</f>
        <v/>
      </c>
      <c r="M136" s="7" t="str">
        <f>IFERROR(VLOOKUP(J136,Transco!B:E,4,FALSE),"")</f>
        <v/>
      </c>
      <c r="N136" s="7" t="str">
        <f>IFERROR(VLOOKUP(K136,Transco!B:E,4,FALSE),"")</f>
        <v/>
      </c>
      <c r="O136" s="84" t="s">
        <v>2986</v>
      </c>
      <c r="P136" s="81" t="str">
        <f>INDEX(Calculs,$E$2,103)</f>
        <v>Actif (bilan):Frais d'établissement Net année N</v>
      </c>
    </row>
    <row r="137" spans="2:16" x14ac:dyDescent="0.2">
      <c r="B137" s="105" t="s">
        <v>1646</v>
      </c>
      <c r="C137" s="38"/>
      <c r="D137" s="103"/>
      <c r="E137" s="103"/>
      <c r="I137" s="7">
        <f t="shared" si="6"/>
        <v>0</v>
      </c>
      <c r="L137" s="163" t="str">
        <f>IFERROR(VLOOKUP(D137,Transco!B:E,4,FALSE),"")</f>
        <v/>
      </c>
      <c r="M137" s="7" t="str">
        <f>IFERROR(VLOOKUP(J137,Transco!B:E,4,FALSE),"")</f>
        <v/>
      </c>
      <c r="N137" s="7" t="str">
        <f>IFERROR(VLOOKUP(K137,Transco!B:E,4,FALSE),"")</f>
        <v/>
      </c>
      <c r="O137" s="84" t="s">
        <v>2987</v>
      </c>
      <c r="P137" s="81" t="str">
        <f>INDEX(Calculs,$E$2,104)</f>
        <v>Actif (bilan):Frais d'établissement Net année N-1</v>
      </c>
    </row>
    <row r="138" spans="2:16" x14ac:dyDescent="0.2">
      <c r="B138" s="39" t="s">
        <v>1647</v>
      </c>
      <c r="C138" s="40"/>
      <c r="D138" s="89" t="s">
        <v>451</v>
      </c>
      <c r="E138" s="57" t="str">
        <f>INDEX(Calculs,$E$2,48)</f>
        <v>Actif (bilan):Charges à répartir ou frais d'émission d'emprunt Net année N</v>
      </c>
      <c r="F138" s="71" t="str">
        <f>INDEX(Calculs,$E$2,48)</f>
        <v>Actif (bilan):Charges à répartir ou frais d'émission d'emprunt Net année N</v>
      </c>
      <c r="G138" s="71" t="str">
        <f>INDEX(Calculs,$E$2,49)</f>
        <v>Actif (bilan):Charges à répartir ou frais d'émission d'emprunt Net année N-1</v>
      </c>
      <c r="I138" s="7" t="str">
        <f t="shared" si="6"/>
        <v>CL</v>
      </c>
      <c r="J138" s="7" t="str">
        <f>D138</f>
        <v>CL</v>
      </c>
      <c r="K138" s="7" t="str">
        <f>D138&amp;"(N1)"</f>
        <v>CL(N1)</v>
      </c>
      <c r="L138" s="163" t="str">
        <f>IFERROR(VLOOKUP(D138,Transco!B:E,4,FALSE),"")</f>
        <v>=INDEX(Liste;$E$2;48)</v>
      </c>
      <c r="M138" s="7" t="str">
        <f>IFERROR(VLOOKUP(J138,Transco!B:E,4,FALSE),"")</f>
        <v>=INDEX(Liste;$E$2;48)</v>
      </c>
      <c r="N138" s="7" t="str">
        <f>IFERROR(VLOOKUP(K138,Transco!B:E,4,FALSE),"")</f>
        <v>=INDEX(Liste;$E$2;49)</v>
      </c>
      <c r="O138" s="84" t="s">
        <v>2988</v>
      </c>
      <c r="P138" s="81" t="str">
        <f>INDEX(Calculs,$E$2,105)</f>
        <v>Actif (bilan):Frais d'établissement brut Année N</v>
      </c>
    </row>
    <row r="139" spans="2:16" x14ac:dyDescent="0.2">
      <c r="B139" s="39" t="s">
        <v>1648</v>
      </c>
      <c r="C139" s="40"/>
      <c r="D139" s="89" t="s">
        <v>529</v>
      </c>
      <c r="E139" s="57" t="str">
        <f>INDEX(Calculs,$E$2,130)</f>
        <v>Actif (bilan):Primes de remboursement des obligations (IV) Net année N</v>
      </c>
      <c r="F139" s="71" t="str">
        <f>INDEX(Calculs,$E$2,130)</f>
        <v>Actif (bilan):Primes de remboursement des obligations (IV) Net année N</v>
      </c>
      <c r="G139" s="71" t="str">
        <f>INDEX(Calculs,$E$2,131)</f>
        <v>Actif (bilan):Primes de remboursement des obligations (IV) Net année N-1</v>
      </c>
      <c r="I139" s="7" t="str">
        <f t="shared" si="6"/>
        <v>CM</v>
      </c>
      <c r="J139" s="7" t="str">
        <f>D139</f>
        <v>CM</v>
      </c>
      <c r="K139" s="7" t="str">
        <f>D139&amp;"(N1)"</f>
        <v>CM(N1)</v>
      </c>
      <c r="L139" s="163" t="str">
        <f>IFERROR(VLOOKUP(D139,Transco!B:E,4,FALSE),"")</f>
        <v>=INDEX(Liste;$E$2;130)</v>
      </c>
      <c r="M139" s="7" t="str">
        <f>IFERROR(VLOOKUP(J139,Transco!B:E,4,FALSE),"")</f>
        <v>=INDEX(Liste;$E$2;130)</v>
      </c>
      <c r="N139" s="7" t="str">
        <f>IFERROR(VLOOKUP(K139,Transco!B:E,4,FALSE),"")</f>
        <v>=INDEX(Liste;$E$2;131)</v>
      </c>
      <c r="O139" s="84" t="s">
        <v>2989</v>
      </c>
      <c r="P139" s="81" t="str">
        <f>INDEX(Calculs,$E$2,106)</f>
        <v>Actif (bilan):Immobilisations en cours Amortissement année N</v>
      </c>
    </row>
    <row r="140" spans="2:16" x14ac:dyDescent="0.2">
      <c r="B140" s="39" t="s">
        <v>1649</v>
      </c>
      <c r="C140" s="40"/>
      <c r="D140" s="89" t="s">
        <v>481</v>
      </c>
      <c r="E140" s="57" t="str">
        <f>INDEX(Calculs,$E$2,79)</f>
        <v>Actif (bilan):Ecarts de conversion actif (V) Net année N</v>
      </c>
      <c r="F140" s="71" t="str">
        <f>INDEX(Calculs,$E$2,79)</f>
        <v>Actif (bilan):Ecarts de conversion actif (V) Net année N</v>
      </c>
      <c r="G140" s="71" t="str">
        <f>INDEX(Calculs,$E$2,80)</f>
        <v>Actif (bilan):Ecarts de conversion actif (V) Net année N-1</v>
      </c>
      <c r="I140" s="7" t="str">
        <f t="shared" si="6"/>
        <v>CN</v>
      </c>
      <c r="J140" s="7" t="str">
        <f>D140</f>
        <v>CN</v>
      </c>
      <c r="K140" s="7" t="str">
        <f>D140&amp;"(N1)"</f>
        <v>CN(N1)</v>
      </c>
      <c r="L140" s="163" t="str">
        <f>IFERROR(VLOOKUP(D140,Transco!B:E,4,FALSE),"")</f>
        <v>=INDEX(Liste;$E$2;79)</v>
      </c>
      <c r="M140" s="7" t="str">
        <f>IFERROR(VLOOKUP(J140,Transco!B:E,4,FALSE),"")</f>
        <v>=INDEX(Liste;$E$2;79)</v>
      </c>
      <c r="N140" s="7" t="str">
        <f>IFERROR(VLOOKUP(K140,Transco!B:E,4,FALSE),"")</f>
        <v>=INDEX(Liste;$E$2;80)</v>
      </c>
      <c r="O140" s="84" t="s">
        <v>2990</v>
      </c>
      <c r="P140" s="81" t="str">
        <f>INDEX(Calculs,$E$2,107)</f>
        <v>Actif (bilan):Immobilisations en cours Net année N</v>
      </c>
    </row>
    <row r="141" spans="2:16" x14ac:dyDescent="0.2">
      <c r="B141" s="38" t="s">
        <v>1597</v>
      </c>
      <c r="C141" s="38"/>
      <c r="D141" s="103"/>
      <c r="E141" s="103"/>
      <c r="I141" s="7">
        <f t="shared" si="6"/>
        <v>0</v>
      </c>
      <c r="L141" s="163" t="str">
        <f>IFERROR(VLOOKUP(D141,Transco!B:E,4,FALSE),"")</f>
        <v/>
      </c>
      <c r="M141" s="7" t="str">
        <f>IFERROR(VLOOKUP(J141,Transco!B:E,4,FALSE),"")</f>
        <v/>
      </c>
      <c r="N141" s="7" t="str">
        <f>IFERROR(VLOOKUP(K141,Transco!B:E,4,FALSE),"")</f>
        <v/>
      </c>
      <c r="O141" s="84" t="s">
        <v>2991</v>
      </c>
      <c r="P141" s="81" t="str">
        <f>INDEX(Calculs,$E$2,119)</f>
        <v>Actif (bilan):Matiéres premiéres, approvisionnements Net année N</v>
      </c>
    </row>
    <row r="142" spans="2:16" x14ac:dyDescent="0.2">
      <c r="B142" s="121" t="s">
        <v>1806</v>
      </c>
      <c r="C142" s="122"/>
      <c r="D142" s="123" t="s">
        <v>548</v>
      </c>
      <c r="E142" s="124" t="str">
        <f>INDEX(Calculs,$E$2,152)</f>
        <v>Actif (bilan):TOTAL GENERAL (0 à V) brut Année N</v>
      </c>
      <c r="F142" s="124" t="str">
        <f>INDEX(Calculs,$E$2,150)</f>
        <v>Actif (bilan):TOTAL GENERAL (0 à V) Net année N</v>
      </c>
      <c r="G142" s="124" t="str">
        <f>INDEX(Calculs,$E$2,151)</f>
        <v>Actif (bilan):TOTAL GENERAL (0 à V) Net année N-1</v>
      </c>
      <c r="I142" s="7" t="str">
        <f t="shared" si="6"/>
        <v>CO</v>
      </c>
      <c r="J142" s="7" t="str">
        <f>D142&amp;"-"&amp;D143</f>
        <v>CO-1A</v>
      </c>
      <c r="K142" s="7" t="str">
        <f>D142&amp;"(N1)"</f>
        <v>CO(N1)</v>
      </c>
      <c r="L142" s="163" t="str">
        <f>IFERROR(VLOOKUP(D142,Transco!B:E,4,FALSE),"")</f>
        <v>=INDEX(Liste;$E$2;152)</v>
      </c>
      <c r="M142" s="7" t="str">
        <f>IFERROR(VLOOKUP(J142,Transco!B:E,4,FALSE),"")</f>
        <v>=INDEX(Liste;$E$2;150)</v>
      </c>
      <c r="N142" s="7" t="str">
        <f>IFERROR(VLOOKUP(K142,Transco!B:E,4,FALSE),"")</f>
        <v>=INDEX(Liste;$E$2;151)</v>
      </c>
      <c r="O142" s="84" t="s">
        <v>2992</v>
      </c>
      <c r="P142" s="81" t="str">
        <f>INDEX(Calculs,$E$2,111)</f>
        <v>Actif (bilan):Installations techniques, matériel et outillage industriels Net année N</v>
      </c>
    </row>
    <row r="143" spans="2:16" x14ac:dyDescent="0.2">
      <c r="B143" s="121" t="s">
        <v>1600</v>
      </c>
      <c r="C143" s="122"/>
      <c r="D143" s="123" t="s">
        <v>545</v>
      </c>
      <c r="E143" s="124" t="str">
        <f>INDEX(Calculs,$E$2,149)</f>
        <v>Actif (bilan):TOTAL GENERAL (0 à V) Amortissement année N</v>
      </c>
      <c r="F143" s="124"/>
      <c r="G143" s="124"/>
      <c r="I143" s="7" t="str">
        <f t="shared" si="6"/>
        <v>1A</v>
      </c>
      <c r="K143" s="7" t="str">
        <f>D143&amp;"(N1)"</f>
        <v>1A(N1)</v>
      </c>
      <c r="L143" s="163" t="str">
        <f>IFERROR(VLOOKUP(D143,Transco!B:E,4,FALSE),"")</f>
        <v>=INDEX(Liste;$E$2;149)</v>
      </c>
      <c r="M143" s="7" t="str">
        <f>IFERROR(VLOOKUP(J143,Transco!B:E,4,FALSE),"")</f>
        <v/>
      </c>
      <c r="N143" s="7" t="str">
        <f>IFERROR(VLOOKUP(K143,Transco!B:E,4,FALSE),"")</f>
        <v/>
      </c>
      <c r="O143" s="84" t="s">
        <v>2993</v>
      </c>
      <c r="P143" s="81" t="str">
        <f>INDEX(Calculs,$E$2,112)</f>
        <v>Actif (bilan):Installations techniques, matériel et outillage industriels Net année N-1</v>
      </c>
    </row>
    <row r="144" spans="2:16" x14ac:dyDescent="0.2">
      <c r="B144" s="39" t="s">
        <v>1650</v>
      </c>
      <c r="C144" s="40"/>
      <c r="D144" s="41" t="s">
        <v>407</v>
      </c>
      <c r="E144" s="57" t="str">
        <f>INDEX(Calculs,$E$2,3)</f>
        <v>Actif (bilan): Parts à moins d'un an Brut</v>
      </c>
      <c r="F144" s="71"/>
      <c r="G144" s="71"/>
      <c r="I144" s="7" t="str">
        <f t="shared" si="6"/>
        <v>CP</v>
      </c>
      <c r="K144" s="7" t="str">
        <f>D144&amp;"(N1)"</f>
        <v>CP(N1)</v>
      </c>
      <c r="L144" s="163" t="str">
        <f>IFERROR(VLOOKUP(D144,Transco!B:E,4,FALSE),"")</f>
        <v>=INDEX(Liste;$E$2;3)</v>
      </c>
      <c r="M144" s="7" t="str">
        <f>IFERROR(VLOOKUP(J144,Transco!B:E,4,FALSE),"")</f>
        <v/>
      </c>
      <c r="N144" s="7" t="str">
        <f>IFERROR(VLOOKUP(K144,Transco!B:E,4,FALSE),"")</f>
        <v/>
      </c>
      <c r="O144" s="84" t="s">
        <v>174</v>
      </c>
      <c r="P144" s="81" t="str">
        <f>INDEX(Calculs,$E$2,114)</f>
        <v>Actif (bilan):Marchandises Amortissement année N</v>
      </c>
    </row>
    <row r="145" spans="2:16" x14ac:dyDescent="0.2">
      <c r="B145" s="39" t="s">
        <v>1651</v>
      </c>
      <c r="C145" s="40"/>
      <c r="D145" s="41" t="s">
        <v>408</v>
      </c>
      <c r="E145" s="57" t="str">
        <f>INDEX(Calculs,$E$2,4)</f>
        <v>Actif (bilan): Parts à plus d'un an Brut</v>
      </c>
      <c r="F145" s="71"/>
      <c r="G145" s="71"/>
      <c r="I145" s="7" t="str">
        <f t="shared" si="6"/>
        <v>CR</v>
      </c>
      <c r="K145" s="7" t="str">
        <f>D145&amp;"(N1)"</f>
        <v>CR(N1)</v>
      </c>
      <c r="L145" s="163" t="str">
        <f>IFERROR(VLOOKUP(D145,Transco!B:E,4,FALSE),"")</f>
        <v>=INDEX(Liste;$E$2;4)</v>
      </c>
      <c r="M145" s="7" t="str">
        <f>IFERROR(VLOOKUP(J145,Transco!B:E,4,FALSE),"")</f>
        <v/>
      </c>
      <c r="N145" s="7" t="str">
        <f>IFERROR(VLOOKUP(K145,Transco!B:E,4,FALSE),"")</f>
        <v/>
      </c>
      <c r="O145" s="84" t="s">
        <v>2994</v>
      </c>
      <c r="P145" s="81" t="str">
        <f>INDEX(Calculs,$E$2,115)</f>
        <v>Actif (bilan):Marchandises Net année N</v>
      </c>
    </row>
    <row r="146" spans="2:16" x14ac:dyDescent="0.2">
      <c r="B146" s="38" t="s">
        <v>1597</v>
      </c>
      <c r="C146" s="38"/>
      <c r="D146" s="103"/>
      <c r="E146" s="103"/>
      <c r="L146" s="163" t="str">
        <f>IFERROR(VLOOKUP(D146,Transco!B:E,4,FALSE),"")</f>
        <v/>
      </c>
      <c r="M146" s="7" t="str">
        <f>IFERROR(VLOOKUP(J146,Transco!B:E,4,FALSE),"")</f>
        <v/>
      </c>
      <c r="N146" s="7" t="str">
        <f>IFERROR(VLOOKUP(K146,Transco!B:E,4,FALSE),"")</f>
        <v/>
      </c>
      <c r="O146" s="84" t="s">
        <v>2995</v>
      </c>
      <c r="P146" s="81" t="str">
        <f>INDEX(Calculs,$E$2,119)</f>
        <v>Actif (bilan):Matiéres premiéres, approvisionnements Net année N</v>
      </c>
    </row>
    <row r="147" spans="2:16" ht="18.75" x14ac:dyDescent="0.2">
      <c r="B147" s="104" t="s">
        <v>1813</v>
      </c>
      <c r="C147" s="105"/>
      <c r="D147" s="106"/>
      <c r="E147" s="106"/>
      <c r="F147" s="86"/>
      <c r="G147" s="86"/>
      <c r="L147" s="163" t="str">
        <f>IFERROR(VLOOKUP(D147,Transco!B:E,4,FALSE),"")</f>
        <v/>
      </c>
      <c r="M147" s="7" t="str">
        <f>IFERROR(VLOOKUP(J147,Transco!B:E,4,FALSE),"")</f>
        <v/>
      </c>
      <c r="N147" s="7" t="str">
        <f>IFERROR(VLOOKUP(K147,Transco!B:E,4,FALSE),"")</f>
        <v/>
      </c>
      <c r="O147" s="84" t="s">
        <v>2996</v>
      </c>
      <c r="P147" s="81" t="str">
        <f>INDEX(Calculs,$E$2,118)</f>
        <v>Actif (bilan):Matiéres premiéres, approvisionnements Amortissement année N</v>
      </c>
    </row>
    <row r="148" spans="2:16" x14ac:dyDescent="0.2">
      <c r="B148" s="38" t="s">
        <v>1597</v>
      </c>
      <c r="C148" s="38"/>
      <c r="D148" s="103"/>
      <c r="E148" s="103"/>
      <c r="L148" s="163" t="str">
        <f>IFERROR(VLOOKUP(D148,Transco!B:E,4,FALSE),"")</f>
        <v/>
      </c>
      <c r="M148" s="7" t="str">
        <f>IFERROR(VLOOKUP(J148,Transco!B:E,4,FALSE),"")</f>
        <v/>
      </c>
      <c r="N148" s="7" t="str">
        <f>IFERROR(VLOOKUP(K148,Transco!B:E,4,FALSE),"")</f>
        <v/>
      </c>
      <c r="O148" s="84" t="s">
        <v>2997</v>
      </c>
      <c r="P148" s="81" t="str">
        <f>INDEX(Calculs,$E$2,119)</f>
        <v>Actif (bilan):Matiéres premiéres, approvisionnements Net année N</v>
      </c>
    </row>
    <row r="149" spans="2:16" x14ac:dyDescent="0.2">
      <c r="B149" s="105" t="s">
        <v>2103</v>
      </c>
      <c r="C149" s="38"/>
      <c r="D149" s="103"/>
      <c r="E149" s="103"/>
      <c r="L149" s="163" t="str">
        <f>IFERROR(VLOOKUP(D149,Transco!B:E,4,FALSE),"")</f>
        <v/>
      </c>
      <c r="M149" s="7" t="str">
        <f>IFERROR(VLOOKUP(J149,Transco!B:E,4,FALSE),"")</f>
        <v/>
      </c>
      <c r="N149" s="7" t="str">
        <f>IFERROR(VLOOKUP(K149,Transco!B:E,4,FALSE),"")</f>
        <v/>
      </c>
      <c r="O149" s="84" t="s">
        <v>2998</v>
      </c>
      <c r="P149" s="81"/>
    </row>
    <row r="150" spans="2:16" x14ac:dyDescent="0.2">
      <c r="B150" s="38"/>
      <c r="C150" s="38"/>
      <c r="D150" s="103"/>
      <c r="E150" s="103"/>
      <c r="L150" s="163" t="str">
        <f>IFERROR(VLOOKUP(D150,Transco!B:E,4,FALSE),"")</f>
        <v/>
      </c>
      <c r="M150" s="7" t="str">
        <f>IFERROR(VLOOKUP(J150,Transco!B:E,4,FALSE),"")</f>
        <v/>
      </c>
      <c r="N150" s="7" t="str">
        <f>IFERROR(VLOOKUP(K150,Transco!B:E,4,FALSE),"")</f>
        <v/>
      </c>
      <c r="O150" s="84" t="s">
        <v>2999</v>
      </c>
      <c r="P150" s="81"/>
    </row>
    <row r="151" spans="2:16" x14ac:dyDescent="0.2">
      <c r="B151" s="105" t="s">
        <v>1652</v>
      </c>
      <c r="C151" s="105"/>
      <c r="D151" s="106"/>
      <c r="E151" s="106"/>
      <c r="G151" s="70" t="str">
        <f>INDEX(Calculs,$E$2,302)</f>
        <v>Passif (bilan):Autres Année N-1</v>
      </c>
      <c r="K151" s="7" t="str">
        <f t="shared" ref="K151:K164" si="8">D151&amp;"(N1)"</f>
        <v>(N1)</v>
      </c>
      <c r="L151" s="163" t="str">
        <f>IFERROR(VLOOKUP(D151,Transco!B:E,4,FALSE),"")</f>
        <v/>
      </c>
      <c r="M151" s="7" t="str">
        <f>IFERROR(VLOOKUP(J151,Transco!B:E,4,FALSE),"")</f>
        <v/>
      </c>
      <c r="N151" s="7" t="str">
        <f>IFERROR(VLOOKUP(K151,Transco!B:E,4,FALSE),"")</f>
        <v>=INDEX(Liste;$E$2;302)</v>
      </c>
      <c r="O151" s="84" t="s">
        <v>3000</v>
      </c>
      <c r="P151" s="81" t="str">
        <f>INDEX(Calculs,$E$2,120)</f>
        <v>Actif (bilan):Matiéres premiéres, approvisionnements Net année N-1</v>
      </c>
    </row>
    <row r="152" spans="2:16" x14ac:dyDescent="0.2">
      <c r="B152" s="39" t="s">
        <v>1653</v>
      </c>
      <c r="C152" s="40"/>
      <c r="D152" s="41" t="s">
        <v>705</v>
      </c>
      <c r="E152" s="71" t="str">
        <f>INDEX(Calculs,$E$2,313)</f>
        <v>Passif (bilan):Capital social ou individuel Année N</v>
      </c>
      <c r="F152" s="71" t="str">
        <f>INDEX(Calculs,$E$2,313)</f>
        <v>Passif (bilan):Capital social ou individuel Année N</v>
      </c>
      <c r="G152" s="71" t="str">
        <f>INDEX(Calculs,$E$2,314)</f>
        <v>Passif (bilan):Capital social ou individuel Année N-1</v>
      </c>
      <c r="I152" s="7" t="str">
        <f t="shared" si="6"/>
        <v>DA</v>
      </c>
      <c r="J152" s="7" t="str">
        <f>D152</f>
        <v>DA</v>
      </c>
      <c r="K152" s="7" t="str">
        <f t="shared" si="8"/>
        <v>DA(N1)</v>
      </c>
      <c r="L152" s="163" t="str">
        <f>IFERROR(VLOOKUP(D152,Transco!B:E,4,FALSE),"")</f>
        <v>=INDEX(Liste;$E$2;313)</v>
      </c>
      <c r="M152" s="7" t="str">
        <f>IFERROR(VLOOKUP(J152,Transco!B:E,4,FALSE),"")</f>
        <v>=INDEX(Liste;$E$2;313)</v>
      </c>
      <c r="N152" s="7" t="str">
        <f>IFERROR(VLOOKUP(K152,Transco!B:E,4,FALSE),"")</f>
        <v>=INDEX(Liste;$E$2;314)</v>
      </c>
      <c r="O152" s="84" t="s">
        <v>182</v>
      </c>
      <c r="P152" s="81" t="str">
        <f>INDEX(Calculs,$E$2,121)</f>
        <v>Actif (bilan):Matiéres premiéres, approvisionnements brut Année N</v>
      </c>
    </row>
    <row r="153" spans="2:16" x14ac:dyDescent="0.2">
      <c r="B153" s="39" t="s">
        <v>1654</v>
      </c>
      <c r="C153" s="40"/>
      <c r="D153" s="41" t="s">
        <v>735</v>
      </c>
      <c r="E153" s="71" t="str">
        <f>INDEX(Calculs,$E$2,347)</f>
        <v>Passif (bilan):Primes d'émission, de fusion, d'apport Année N</v>
      </c>
      <c r="F153" s="71" t="str">
        <f>INDEX(Calculs,$E$2,347)</f>
        <v>Passif (bilan):Primes d'émission, de fusion, d'apport Année N</v>
      </c>
      <c r="G153" s="71" t="str">
        <f>INDEX(Calculs,$E$2,348)</f>
        <v>Passif (bilan):Primes d'émission, de fusion, d'apport Année N-1</v>
      </c>
      <c r="I153" s="7" t="str">
        <f t="shared" si="6"/>
        <v>DB</v>
      </c>
      <c r="J153" s="7" t="str">
        <f t="shared" ref="J153:J216" si="9">D153</f>
        <v>DB</v>
      </c>
      <c r="K153" s="7" t="str">
        <f t="shared" si="8"/>
        <v>DB(N1)</v>
      </c>
      <c r="L153" s="163" t="str">
        <f>IFERROR(VLOOKUP(D153,Transco!B:E,4,FALSE),"")</f>
        <v>=INDEX(Liste;$E$2;347)</v>
      </c>
      <c r="M153" s="7" t="str">
        <f>IFERROR(VLOOKUP(J153,Transco!B:E,4,FALSE),"")</f>
        <v>=INDEX(Liste;$E$2;347)</v>
      </c>
      <c r="N153" s="7" t="str">
        <f>IFERROR(VLOOKUP(K153,Transco!B:E,4,FALSE),"")</f>
        <v>=INDEX(Liste;$E$2;348)</v>
      </c>
      <c r="O153" s="84" t="s">
        <v>3001</v>
      </c>
      <c r="P153" s="81" t="str">
        <f>INDEX(Calculs,$E$2,122)</f>
        <v>Actif (bilan):Participations évaluées - mise en équivalence Amortissement année N</v>
      </c>
    </row>
    <row r="154" spans="2:16" x14ac:dyDescent="0.2">
      <c r="B154" s="39" t="s">
        <v>1655</v>
      </c>
      <c r="C154" s="40"/>
      <c r="D154" s="41" t="s">
        <v>691</v>
      </c>
      <c r="E154" s="71" t="str">
        <f>INDEX(Calculs,$E$2,299)</f>
        <v>Passif (bilan):(dont écart d'équivalence) Année N</v>
      </c>
      <c r="F154" s="71" t="str">
        <f>INDEX(Calculs,$E$2,299)</f>
        <v>Passif (bilan):(dont écart d'équivalence) Année N</v>
      </c>
      <c r="G154" s="71" t="str">
        <f>INDEX(Calculs,$E$2,300)</f>
        <v>Passif (bilan):(dont écart d'équivalence) Année N-1</v>
      </c>
      <c r="I154" s="7" t="str">
        <f t="shared" si="6"/>
        <v>EK</v>
      </c>
      <c r="J154" s="7" t="str">
        <f t="shared" si="9"/>
        <v>EK</v>
      </c>
      <c r="K154" s="7" t="str">
        <f t="shared" si="8"/>
        <v>EK(N1)</v>
      </c>
      <c r="L154" s="163" t="str">
        <f>IFERROR(VLOOKUP(D154,Transco!B:E,4,FALSE),"")</f>
        <v>=INDEX(Liste;$E$2;299)</v>
      </c>
      <c r="M154" s="7" t="str">
        <f>IFERROR(VLOOKUP(J154,Transco!B:E,4,FALSE),"")</f>
        <v>=INDEX(Liste;$E$2;299)</v>
      </c>
      <c r="N154" s="7" t="str">
        <f>IFERROR(VLOOKUP(K154,Transco!B:E,4,FALSE),"")</f>
        <v>=INDEX(Liste;$E$2;300)</v>
      </c>
      <c r="O154" s="84" t="s">
        <v>3002</v>
      </c>
      <c r="P154" s="81" t="str">
        <f>INDEX(Calculs,$E$2,123)</f>
        <v>Actif (bilan):Participations évaluées - mise en équivalence Net année N</v>
      </c>
    </row>
    <row r="155" spans="2:16" x14ac:dyDescent="0.2">
      <c r="B155" s="39" t="s">
        <v>1656</v>
      </c>
      <c r="C155" s="40"/>
      <c r="D155" s="41" t="s">
        <v>727</v>
      </c>
      <c r="E155" s="71" t="str">
        <f>INDEX(Calculs,$E$2,335)</f>
        <v>Passif (bilan):Ecarts de réévaluation Année N</v>
      </c>
      <c r="F155" s="71" t="str">
        <f>INDEX(Calculs,$E$2,335)</f>
        <v>Passif (bilan):Ecarts de réévaluation Année N</v>
      </c>
      <c r="G155" s="71" t="str">
        <f>INDEX(Calculs,$E$2,336)</f>
        <v>Passif (bilan):Ecarts de réévaluation Année N-1</v>
      </c>
      <c r="I155" s="7" t="str">
        <f t="shared" si="6"/>
        <v>DC</v>
      </c>
      <c r="J155" s="7" t="str">
        <f t="shared" si="9"/>
        <v>DC</v>
      </c>
      <c r="K155" s="7" t="str">
        <f t="shared" si="8"/>
        <v>DC(N1)</v>
      </c>
      <c r="L155" s="163" t="str">
        <f>IFERROR(VLOOKUP(D155,Transco!B:E,4,FALSE),"")</f>
        <v>=INDEX(Liste;$E$2;335)</v>
      </c>
      <c r="M155" s="7" t="str">
        <f>IFERROR(VLOOKUP(J155,Transco!B:E,4,FALSE),"")</f>
        <v>=INDEX(Liste;$E$2;335)</v>
      </c>
      <c r="N155" s="7" t="str">
        <f>IFERROR(VLOOKUP(K155,Transco!B:E,4,FALSE),"")</f>
        <v>=INDEX(Liste;$E$2;336)</v>
      </c>
      <c r="O155" s="84" t="s">
        <v>3003</v>
      </c>
      <c r="P155" s="81" t="str">
        <f>INDEX(Calculs,$E$2,124)</f>
        <v>Actif (bilan):Participations évaluées - mise en équivalence Net année N-1</v>
      </c>
    </row>
    <row r="156" spans="2:16" x14ac:dyDescent="0.2">
      <c r="B156" s="39" t="s">
        <v>1657</v>
      </c>
      <c r="C156" s="40"/>
      <c r="D156" s="41" t="s">
        <v>749</v>
      </c>
      <c r="E156" s="71" t="str">
        <f>INDEX(Calculs,$E$2,361)</f>
        <v>Passif (bilan):Réserve légale (1) Année N</v>
      </c>
      <c r="F156" s="71" t="str">
        <f>INDEX(Calculs,$E$2,361)</f>
        <v>Passif (bilan):Réserve légale (1) Année N</v>
      </c>
      <c r="G156" s="71" t="str">
        <f>INDEX(Calculs,$E$2,362)</f>
        <v>Passif (bilan):Réserve légale (1) Année N-1</v>
      </c>
      <c r="I156" s="7" t="str">
        <f t="shared" si="6"/>
        <v>DD</v>
      </c>
      <c r="J156" s="7" t="str">
        <f t="shared" si="9"/>
        <v>DD</v>
      </c>
      <c r="K156" s="7" t="str">
        <f t="shared" si="8"/>
        <v>DD(N1)</v>
      </c>
      <c r="L156" s="163" t="str">
        <f>IFERROR(VLOOKUP(D156,Transco!B:E,4,FALSE),"")</f>
        <v>=INDEX(Liste;$E$2;361)</v>
      </c>
      <c r="M156" s="7" t="str">
        <f>IFERROR(VLOOKUP(J156,Transco!B:E,4,FALSE),"")</f>
        <v>=INDEX(Liste;$E$2;361)</v>
      </c>
      <c r="N156" s="7" t="str">
        <f>IFERROR(VLOOKUP(K156,Transco!B:E,4,FALSE),"")</f>
        <v>=INDEX(Liste;$E$2;362)</v>
      </c>
      <c r="O156" s="84" t="s">
        <v>3004</v>
      </c>
      <c r="P156" s="81" t="str">
        <f>INDEX(Calculs,$E$2,125)</f>
        <v>Actif (bilan):Participations évaluées - mise en équivalence brut Année N</v>
      </c>
    </row>
    <row r="157" spans="2:16" x14ac:dyDescent="0.2">
      <c r="B157" s="39" t="s">
        <v>1658</v>
      </c>
      <c r="C157" s="40"/>
      <c r="D157" s="41" t="s">
        <v>753</v>
      </c>
      <c r="E157" s="71" t="str">
        <f>INDEX(Calculs,$E$2,365)</f>
        <v>Passif (bilan):Réserves statutaires ou contractuelles Année N</v>
      </c>
      <c r="F157" s="71" t="str">
        <f>INDEX(Calculs,$E$2,365)</f>
        <v>Passif (bilan):Réserves statutaires ou contractuelles Année N</v>
      </c>
      <c r="G157" s="71" t="str">
        <f>INDEX(Calculs,$E$2,366)</f>
        <v>Passif (bilan):Réserves statutaires ou contractuelles Année N-1</v>
      </c>
      <c r="I157" s="7" t="str">
        <f t="shared" si="6"/>
        <v>DE</v>
      </c>
      <c r="J157" s="7" t="str">
        <f t="shared" si="9"/>
        <v>DE</v>
      </c>
      <c r="K157" s="7" t="str">
        <f t="shared" si="8"/>
        <v>DE(N1)</v>
      </c>
      <c r="L157" s="163" t="str">
        <f>IFERROR(VLOOKUP(D157,Transco!B:E,4,FALSE),"")</f>
        <v>=INDEX(Liste;$E$2;365)</v>
      </c>
      <c r="M157" s="7" t="str">
        <f>IFERROR(VLOOKUP(J157,Transco!B:E,4,FALSE),"")</f>
        <v>=INDEX(Liste;$E$2;365)</v>
      </c>
      <c r="N157" s="7" t="str">
        <f>IFERROR(VLOOKUP(K157,Transco!B:E,4,FALSE),"")</f>
        <v>=INDEX(Liste;$E$2;366)</v>
      </c>
      <c r="O157" s="84" t="s">
        <v>3005</v>
      </c>
      <c r="P157" s="81" t="str">
        <f>INDEX(Calculs,$E$2,126)</f>
        <v>Actif (bilan):Pré�ts Amortissement année N</v>
      </c>
    </row>
    <row r="158" spans="2:16" x14ac:dyDescent="0.2">
      <c r="B158" s="39" t="s">
        <v>1659</v>
      </c>
      <c r="C158" s="40"/>
      <c r="D158" s="41" t="s">
        <v>751</v>
      </c>
      <c r="E158" s="71" t="str">
        <f>INDEX(Calculs,$E$2,363)</f>
        <v>Passif (bilan):Réserves réglementées (1) Année N</v>
      </c>
      <c r="F158" s="71" t="str">
        <f>INDEX(Calculs,$E$2,363)</f>
        <v>Passif (bilan):Réserves réglementées (1) Année N</v>
      </c>
      <c r="G158" s="71" t="str">
        <f>INDEX(Calculs,$E$2,364)</f>
        <v>Passif (bilan):Réserves réglementées (1) Année N-1</v>
      </c>
      <c r="I158" s="7" t="str">
        <f t="shared" si="6"/>
        <v>DF</v>
      </c>
      <c r="J158" s="7" t="str">
        <f t="shared" si="9"/>
        <v>DF</v>
      </c>
      <c r="K158" s="7" t="str">
        <f t="shared" si="8"/>
        <v>DF(N1)</v>
      </c>
      <c r="L158" s="163" t="str">
        <f>IFERROR(VLOOKUP(D158,Transco!B:E,4,FALSE),"")</f>
        <v>=INDEX(Liste;$E$2;363)</v>
      </c>
      <c r="M158" s="7" t="str">
        <f>IFERROR(VLOOKUP(J158,Transco!B:E,4,FALSE),"")</f>
        <v>=INDEX(Liste;$E$2;363)</v>
      </c>
      <c r="N158" s="7" t="str">
        <f>IFERROR(VLOOKUP(K158,Transco!B:E,4,FALSE),"")</f>
        <v>=INDEX(Liste;$E$2;364)</v>
      </c>
      <c r="O158" s="84" t="s">
        <v>3006</v>
      </c>
      <c r="P158" s="81" t="str">
        <f>INDEX(Calculs,$E$2,127)</f>
        <v>Actif (bilan):Pré�ts Net année N</v>
      </c>
    </row>
    <row r="159" spans="2:16" x14ac:dyDescent="0.2">
      <c r="B159" s="39" t="s">
        <v>1660</v>
      </c>
      <c r="C159" s="40"/>
      <c r="D159" s="41" t="s">
        <v>699</v>
      </c>
      <c r="E159" s="71" t="str">
        <f>INDEX(Calculs,$E$2,307)</f>
        <v>Passif (bilan):Autres réserves Année N</v>
      </c>
      <c r="F159" s="71" t="str">
        <f>INDEX(Calculs,$E$2,307)</f>
        <v>Passif (bilan):Autres réserves Année N</v>
      </c>
      <c r="G159" s="71" t="str">
        <f>INDEX(Calculs,$E$2,308)</f>
        <v>Passif (bilan):Autres réserves Année N-1</v>
      </c>
      <c r="I159" s="7" t="str">
        <f t="shared" si="6"/>
        <v>DG</v>
      </c>
      <c r="J159" s="7" t="str">
        <f t="shared" si="9"/>
        <v>DG</v>
      </c>
      <c r="K159" s="7" t="str">
        <f t="shared" si="8"/>
        <v>DG(N1)</v>
      </c>
      <c r="L159" s="163" t="str">
        <f>IFERROR(VLOOKUP(D159,Transco!B:E,4,FALSE),"")</f>
        <v>=INDEX(Liste;$E$2;307)</v>
      </c>
      <c r="M159" s="7" t="str">
        <f>IFERROR(VLOOKUP(J159,Transco!B:E,4,FALSE),"")</f>
        <v>=INDEX(Liste;$E$2;307)</v>
      </c>
      <c r="N159" s="7" t="str">
        <f>IFERROR(VLOOKUP(K159,Transco!B:E,4,FALSE),"")</f>
        <v>=INDEX(Liste;$E$2;308)</v>
      </c>
      <c r="O159" s="84" t="s">
        <v>3007</v>
      </c>
      <c r="P159" s="81" t="str">
        <f>INDEX(Calculs,$E$2,128)</f>
        <v>Actif (bilan):Pré�ts Net année N-1</v>
      </c>
    </row>
    <row r="160" spans="2:16" x14ac:dyDescent="0.2">
      <c r="B160" s="39" t="s">
        <v>1661</v>
      </c>
      <c r="C160" s="40"/>
      <c r="D160" s="41" t="s">
        <v>747</v>
      </c>
      <c r="E160" s="71" t="str">
        <f>INDEX(Calculs,$E$2,359)</f>
        <v>Passif (bilan):Report à nouveau Année N</v>
      </c>
      <c r="F160" s="71" t="str">
        <f>INDEX(Calculs,$E$2,359)</f>
        <v>Passif (bilan):Report à nouveau Année N</v>
      </c>
      <c r="G160" s="71" t="str">
        <f>INDEX(Calculs,$E$2,360)</f>
        <v>Passif (bilan):Report à nouveau Année N-1</v>
      </c>
      <c r="I160" s="7" t="str">
        <f t="shared" si="6"/>
        <v>DH</v>
      </c>
      <c r="J160" s="7" t="str">
        <f t="shared" si="9"/>
        <v>DH</v>
      </c>
      <c r="K160" s="7" t="str">
        <f t="shared" si="8"/>
        <v>DH(N1)</v>
      </c>
      <c r="L160" s="163" t="str">
        <f>IFERROR(VLOOKUP(D160,Transco!B:E,4,FALSE),"")</f>
        <v>=INDEX(Liste;$E$2;359)</v>
      </c>
      <c r="M160" s="7" t="str">
        <f>IFERROR(VLOOKUP(J160,Transco!B:E,4,FALSE),"")</f>
        <v>=INDEX(Liste;$E$2;359)</v>
      </c>
      <c r="N160" s="7" t="str">
        <f>IFERROR(VLOOKUP(K160,Transco!B:E,4,FALSE),"")</f>
        <v>=INDEX(Liste;$E$2;360)</v>
      </c>
      <c r="O160" s="84" t="s">
        <v>3008</v>
      </c>
      <c r="P160" s="81" t="str">
        <f>INDEX(Calculs,$E$2,129)</f>
        <v>Actif (bilan):Pré�ts brut Année N</v>
      </c>
    </row>
    <row r="161" spans="2:16" x14ac:dyDescent="0.2">
      <c r="B161" s="39" t="s">
        <v>1662</v>
      </c>
      <c r="C161" s="40"/>
      <c r="D161" s="41" t="s">
        <v>725</v>
      </c>
      <c r="E161" s="71" t="str">
        <f>INDEX(Calculs,$E$2,333)</f>
        <v>Passif (bilan):Ecarts de conversion Année N</v>
      </c>
      <c r="F161" s="71" t="str">
        <f>INDEX(Calculs,$E$2,333)</f>
        <v>Passif (bilan):Ecarts de conversion Année N</v>
      </c>
      <c r="G161" s="71" t="str">
        <f>INDEX(Calculs,$E$2,334)</f>
        <v>Passif (bilan):Ecarts de conversion Année N-1</v>
      </c>
      <c r="I161" s="7" t="str">
        <f t="shared" si="6"/>
        <v>CO1P</v>
      </c>
      <c r="J161" s="7" t="str">
        <f t="shared" si="9"/>
        <v>CO1P</v>
      </c>
      <c r="K161" s="7" t="str">
        <f t="shared" si="8"/>
        <v>CO1P(N1)</v>
      </c>
      <c r="L161" s="163" t="str">
        <f>IFERROR(VLOOKUP(D161,Transco!B:E,4,FALSE),"")</f>
        <v>=INDEX(Liste;$E$2;333)</v>
      </c>
      <c r="M161" s="7" t="str">
        <f>IFERROR(VLOOKUP(J161,Transco!B:E,4,FALSE),"")</f>
        <v>=INDEX(Liste;$E$2;333)</v>
      </c>
      <c r="N161" s="7" t="str">
        <f>IFERROR(VLOOKUP(K161,Transco!B:E,4,FALSE),"")</f>
        <v>=INDEX(Liste;$E$2;334)</v>
      </c>
      <c r="O161" s="84" t="s">
        <v>3009</v>
      </c>
      <c r="P161" s="81" t="str">
        <f>INDEX(Calculs,$E$2,130)</f>
        <v>Actif (bilan):Primes de remboursement des obligations (IV) Net année N</v>
      </c>
    </row>
    <row r="162" spans="2:16" x14ac:dyDescent="0.2">
      <c r="B162" s="125" t="s">
        <v>1663</v>
      </c>
      <c r="C162" s="40"/>
      <c r="D162" s="41" t="s">
        <v>755</v>
      </c>
      <c r="E162" s="71" t="str">
        <f>INDEX(Calculs,$E$2,367)</f>
        <v>Passif (bilan):Résultat consolidé part du groupe Année N</v>
      </c>
      <c r="F162" s="71" t="str">
        <f>INDEX(Calculs,$E$2,367)</f>
        <v>Passif (bilan):Résultat consolidé part du groupe Année N</v>
      </c>
      <c r="G162" s="71" t="str">
        <f>INDEX(Calculs,$E$2,368)</f>
        <v>Passif (bilan):Résultat consolidé part du groupe Année N-1</v>
      </c>
      <c r="I162" s="7" t="str">
        <f t="shared" si="6"/>
        <v>CO2P</v>
      </c>
      <c r="J162" s="7" t="str">
        <f t="shared" si="9"/>
        <v>CO2P</v>
      </c>
      <c r="K162" s="7" t="str">
        <f t="shared" si="8"/>
        <v>CO2P(N1)</v>
      </c>
      <c r="L162" s="163" t="str">
        <f>IFERROR(VLOOKUP(D162,Transco!B:E,4,FALSE),"")</f>
        <v>=INDEX(Liste;$E$2;367)</v>
      </c>
      <c r="M162" s="7" t="str">
        <f>IFERROR(VLOOKUP(J162,Transco!B:E,4,FALSE),"")</f>
        <v>=INDEX(Liste;$E$2;367)</v>
      </c>
      <c r="N162" s="7" t="str">
        <f>IFERROR(VLOOKUP(K162,Transco!B:E,4,FALSE),"")</f>
        <v>=INDEX(Liste;$E$2;368)</v>
      </c>
      <c r="O162" s="84" t="s">
        <v>3010</v>
      </c>
      <c r="P162" s="81" t="str">
        <f>INDEX(Calculs,$E$2,131)</f>
        <v>Actif (bilan):Primes de remboursement des obligations (IV) Net année N-1</v>
      </c>
    </row>
    <row r="163" spans="2:16" x14ac:dyDescent="0.2">
      <c r="B163" s="39" t="s">
        <v>1664</v>
      </c>
      <c r="C163" s="40"/>
      <c r="D163" s="41" t="s">
        <v>659</v>
      </c>
      <c r="E163" s="71" t="str">
        <f>INDEX(Calculs,$E$2,369)</f>
        <v>Passif (bilan):Subventions d'investissement Année N</v>
      </c>
      <c r="F163" s="71" t="str">
        <f>INDEX(Calculs,$E$2,369)</f>
        <v>Passif (bilan):Subventions d'investissement Année N</v>
      </c>
      <c r="G163" s="71" t="str">
        <f>INDEX(Calculs,$E$2,370)</f>
        <v>Passif (bilan):Subventions d'investissement Année N-1</v>
      </c>
      <c r="I163" s="7" t="str">
        <f t="shared" si="6"/>
        <v>DJ</v>
      </c>
      <c r="J163" s="7" t="str">
        <f t="shared" si="9"/>
        <v>DJ</v>
      </c>
      <c r="K163" s="7" t="str">
        <f t="shared" si="8"/>
        <v>DJ(N1)</v>
      </c>
      <c r="L163" s="163" t="str">
        <f>IFERROR(VLOOKUP(D163,Transco!B:E,4,FALSE),"")</f>
        <v>=INDEX(Liste;$E$2;369)</v>
      </c>
      <c r="M163" s="7" t="str">
        <f>IFERROR(VLOOKUP(J163,Transco!B:E,4,FALSE),"")</f>
        <v>=INDEX(Liste;$E$2;369)</v>
      </c>
      <c r="N163" s="7" t="str">
        <f>IFERROR(VLOOKUP(K163,Transco!B:E,4,FALSE),"")</f>
        <v>=INDEX(Liste;$E$2;370)</v>
      </c>
      <c r="O163" s="84" t="s">
        <v>3011</v>
      </c>
      <c r="P163" s="81" t="str">
        <f>INDEX(Calculs,$E$2,132)</f>
        <v>Actif (bilan):Primes de remboursement des obligations (IV) brut Année N</v>
      </c>
    </row>
    <row r="164" spans="2:16" x14ac:dyDescent="0.2">
      <c r="B164" s="39" t="s">
        <v>1665</v>
      </c>
      <c r="C164" s="40"/>
      <c r="D164" s="41" t="s">
        <v>745</v>
      </c>
      <c r="E164" s="71" t="str">
        <f>INDEX(Calculs,$E$2,357)</f>
        <v>Passif (bilan):Provisions réglementées Année N</v>
      </c>
      <c r="F164" s="71" t="str">
        <f>INDEX(Calculs,$E$2,357)</f>
        <v>Passif (bilan):Provisions réglementées Année N</v>
      </c>
      <c r="G164" s="71" t="str">
        <f>INDEX(Calculs,$E$2,358)</f>
        <v>Passif (bilan):Provisions réglementées Année N-1</v>
      </c>
      <c r="I164" s="7" t="str">
        <f t="shared" si="6"/>
        <v>DK</v>
      </c>
      <c r="J164" s="7" t="str">
        <f t="shared" si="9"/>
        <v>DK</v>
      </c>
      <c r="K164" s="7" t="str">
        <f t="shared" si="8"/>
        <v>DK(N1)</v>
      </c>
      <c r="L164" s="163" t="str">
        <f>IFERROR(VLOOKUP(D164,Transco!B:E,4,FALSE),"")</f>
        <v>=INDEX(Liste;$E$2;357)</v>
      </c>
      <c r="M164" s="7" t="str">
        <f>IFERROR(VLOOKUP(J164,Transco!B:E,4,FALSE),"")</f>
        <v>=INDEX(Liste;$E$2;357)</v>
      </c>
      <c r="N164" s="7" t="str">
        <f>IFERROR(VLOOKUP(K164,Transco!B:E,4,FALSE),"")</f>
        <v>=INDEX(Liste;$E$2;358)</v>
      </c>
      <c r="O164" s="84" t="s">
        <v>3012</v>
      </c>
      <c r="P164" s="81" t="str">
        <f>INDEX(Calculs,$E$2,133)</f>
        <v>Actif (bilan):Produits intermédiaires et finis Amortissement année N</v>
      </c>
    </row>
    <row r="165" spans="2:16" x14ac:dyDescent="0.2">
      <c r="I165" s="7">
        <f t="shared" si="6"/>
        <v>0</v>
      </c>
      <c r="J165" s="7">
        <f t="shared" si="9"/>
        <v>0</v>
      </c>
      <c r="L165" s="163" t="str">
        <f>IFERROR(VLOOKUP(D165,Transco!B:E,4,FALSE),"")</f>
        <v/>
      </c>
      <c r="M165" s="7" t="str">
        <f>IFERROR(VLOOKUP(J165,Transco!B:E,4,FALSE),"")</f>
        <v/>
      </c>
      <c r="N165" s="7" t="str">
        <f>IFERROR(VLOOKUP(K165,Transco!B:E,4,FALSE),"")</f>
        <v/>
      </c>
      <c r="O165" s="84" t="s">
        <v>3013</v>
      </c>
      <c r="P165" s="81" t="str">
        <f>INDEX(Calculs,$E$2,134)</f>
        <v>Actif (bilan):Produits intermédiaires et finis Net année N</v>
      </c>
    </row>
    <row r="166" spans="2:16" x14ac:dyDescent="0.2">
      <c r="B166" s="111" t="s">
        <v>1666</v>
      </c>
      <c r="C166" s="111"/>
      <c r="D166" s="113" t="s">
        <v>539</v>
      </c>
      <c r="E166" s="113" t="str">
        <f>INDEX(Calculs,$E$2,371)</f>
        <v>Passif (bilan):TOTAL (I) Année N</v>
      </c>
      <c r="F166" s="126" t="str">
        <f>INDEX(Calculs,$E$2,371)</f>
        <v>Passif (bilan):TOTAL (I) Année N</v>
      </c>
      <c r="G166" s="126" t="str">
        <f>INDEX(Calculs,$E$2,372)</f>
        <v>Passif (bilan):TOTAL (I) Année N-1</v>
      </c>
      <c r="I166" s="7" t="str">
        <f t="shared" si="6"/>
        <v>DL</v>
      </c>
      <c r="J166" s="7" t="str">
        <f t="shared" si="9"/>
        <v>DL</v>
      </c>
      <c r="K166" s="7" t="str">
        <f>D166&amp;"(N1)"</f>
        <v>DL(N1)</v>
      </c>
      <c r="L166" s="163" t="str">
        <f>IFERROR(VLOOKUP(D166,Transco!B:E,4,FALSE),"")</f>
        <v>=INDEX(Liste;$E$2;371)</v>
      </c>
      <c r="M166" s="7" t="str">
        <f>IFERROR(VLOOKUP(J166,Transco!B:E,4,FALSE),"")</f>
        <v>=INDEX(Liste;$E$2;371)</v>
      </c>
      <c r="N166" s="7" t="str">
        <f>IFERROR(VLOOKUP(K166,Transco!B:E,4,FALSE),"")</f>
        <v>=INDEX(Liste;$E$2;372)</v>
      </c>
      <c r="O166" s="84" t="s">
        <v>3014</v>
      </c>
      <c r="P166" s="81" t="str">
        <f>INDEX(Calculs,$E$2,135)</f>
        <v>Actif (bilan):Produits intermédiaires et finis Net année N-1</v>
      </c>
    </row>
    <row r="167" spans="2:16" x14ac:dyDescent="0.2">
      <c r="I167" s="7">
        <f t="shared" si="6"/>
        <v>0</v>
      </c>
      <c r="J167" s="7">
        <f t="shared" si="9"/>
        <v>0</v>
      </c>
      <c r="L167" s="163" t="str">
        <f>IFERROR(VLOOKUP(D167,Transco!B:E,4,FALSE),"")</f>
        <v/>
      </c>
      <c r="M167" s="7" t="str">
        <f>IFERROR(VLOOKUP(J167,Transco!B:E,4,FALSE),"")</f>
        <v/>
      </c>
      <c r="N167" s="7" t="str">
        <f>IFERROR(VLOOKUP(K167,Transco!B:E,4,FALSE),"")</f>
        <v/>
      </c>
      <c r="O167" s="84" t="s">
        <v>189</v>
      </c>
      <c r="P167" s="81" t="str">
        <f>INDEX(Calculs,$E$2,136)</f>
        <v>Actif (bilan):Produits intermédiaires et finis brut Année N</v>
      </c>
    </row>
    <row r="168" spans="2:16" x14ac:dyDescent="0.2">
      <c r="B168" s="46" t="s">
        <v>1667</v>
      </c>
      <c r="C168" s="40"/>
      <c r="D168" s="47" t="s">
        <v>737</v>
      </c>
      <c r="E168" s="57" t="str">
        <f>INDEX(Calculs,$E$2,349)</f>
        <v>Passif (bilan):Produit des émissions de titres participatifs Année N</v>
      </c>
      <c r="F168" s="71" t="str">
        <f>INDEX(Calculs,$E$2,349)</f>
        <v>Passif (bilan):Produit des émissions de titres participatifs Année N</v>
      </c>
      <c r="G168" s="71" t="str">
        <f>INDEX(Calculs,$E$2,350)</f>
        <v>Passif (bilan):Produit des émissions de titres participatifs Année N-1</v>
      </c>
      <c r="I168" s="7" t="str">
        <f t="shared" si="6"/>
        <v>DM</v>
      </c>
      <c r="J168" s="7" t="str">
        <f t="shared" si="9"/>
        <v>DM</v>
      </c>
      <c r="K168" s="7" t="str">
        <f>D168&amp;"(N1)"</f>
        <v>DM(N1)</v>
      </c>
      <c r="L168" s="163" t="str">
        <f>IFERROR(VLOOKUP(D168,Transco!B:E,4,FALSE),"")</f>
        <v>=INDEX(Liste;$E$2;349)</v>
      </c>
      <c r="M168" s="7" t="str">
        <f>IFERROR(VLOOKUP(J168,Transco!B:E,4,FALSE),"")</f>
        <v>=INDEX(Liste;$E$2;349)</v>
      </c>
      <c r="N168" s="7" t="str">
        <f>IFERROR(VLOOKUP(K168,Transco!B:E,4,FALSE),"")</f>
        <v>=INDEX(Liste;$E$2;350)</v>
      </c>
      <c r="O168" s="84" t="s">
        <v>3015</v>
      </c>
      <c r="P168" s="81" t="str">
        <f>INDEX(Calculs,$E$2,137)</f>
        <v>Actif (bilan):Sur valeurs - goodwill Amortissement année N</v>
      </c>
    </row>
    <row r="169" spans="2:16" x14ac:dyDescent="0.2">
      <c r="B169" s="46" t="s">
        <v>1668</v>
      </c>
      <c r="C169" s="40"/>
      <c r="D169" s="47" t="s">
        <v>701</v>
      </c>
      <c r="E169" s="57" t="str">
        <f>INDEX(Calculs,$E$2,309)</f>
        <v>Passif (bilan):Avances conditionnées Année N</v>
      </c>
      <c r="F169" s="71" t="str">
        <f>INDEX(Calculs,$E$2,309)</f>
        <v>Passif (bilan):Avances conditionnées Année N</v>
      </c>
      <c r="G169" s="71" t="str">
        <f>INDEX(Calculs,$E$2,310)</f>
        <v>Passif (bilan):Avances conditionnées Année N-1</v>
      </c>
      <c r="I169" s="7" t="str">
        <f t="shared" si="6"/>
        <v>DN</v>
      </c>
      <c r="J169" s="7" t="str">
        <f t="shared" si="9"/>
        <v>DN</v>
      </c>
      <c r="K169" s="7" t="str">
        <f>D169&amp;"(N1)"</f>
        <v>DN(N1)</v>
      </c>
      <c r="L169" s="163" t="str">
        <f>IFERROR(VLOOKUP(D169,Transco!B:E,4,FALSE),"")</f>
        <v>=INDEX(Liste;$E$2;309)</v>
      </c>
      <c r="M169" s="7" t="str">
        <f>IFERROR(VLOOKUP(J169,Transco!B:E,4,FALSE),"")</f>
        <v>=INDEX(Liste;$E$2;309)</v>
      </c>
      <c r="N169" s="7" t="str">
        <f>IFERROR(VLOOKUP(K169,Transco!B:E,4,FALSE),"")</f>
        <v>=INDEX(Liste;$E$2;310)</v>
      </c>
      <c r="O169" s="84" t="s">
        <v>3016</v>
      </c>
      <c r="P169" s="81" t="str">
        <f>INDEX(Calculs,$E$2,138)</f>
        <v>Actif (bilan):Sur valeurs - goodwill Net année N</v>
      </c>
    </row>
    <row r="170" spans="2:16" x14ac:dyDescent="0.2">
      <c r="B170" s="127" t="s">
        <v>1669</v>
      </c>
      <c r="C170" s="40"/>
      <c r="D170" s="47" t="s">
        <v>1670</v>
      </c>
      <c r="E170" s="57"/>
      <c r="F170" s="71"/>
      <c r="G170" s="71"/>
      <c r="I170" s="7" t="str">
        <f t="shared" si="6"/>
        <v>CO3P</v>
      </c>
      <c r="J170" s="7" t="str">
        <f t="shared" si="9"/>
        <v>CO3P</v>
      </c>
      <c r="K170" s="7" t="str">
        <f>D170&amp;"(N1)"</f>
        <v>CO3P(N1)</v>
      </c>
      <c r="L170" s="163" t="str">
        <f>IFERROR(VLOOKUP(D170,Transco!B:E,4,FALSE),"")</f>
        <v/>
      </c>
      <c r="M170" s="7" t="str">
        <f>IFERROR(VLOOKUP(J170,Transco!B:E,4,FALSE),"")</f>
        <v/>
      </c>
      <c r="N170" s="7" t="str">
        <f>IFERROR(VLOOKUP(K170,Transco!B:E,4,FALSE),"")</f>
        <v/>
      </c>
      <c r="O170" s="84" t="s">
        <v>3017</v>
      </c>
      <c r="P170" s="81" t="str">
        <f>INDEX(Calculs,$E$2,139)</f>
        <v>Actif (bilan):Sur valeurs - goodwill Net année N-1</v>
      </c>
    </row>
    <row r="171" spans="2:16" x14ac:dyDescent="0.2">
      <c r="I171" s="7">
        <f t="shared" si="6"/>
        <v>0</v>
      </c>
      <c r="J171" s="7">
        <f t="shared" si="9"/>
        <v>0</v>
      </c>
      <c r="L171" s="163" t="str">
        <f>IFERROR(VLOOKUP(D171,Transco!B:E,4,FALSE),"")</f>
        <v/>
      </c>
      <c r="M171" s="7" t="str">
        <f>IFERROR(VLOOKUP(J171,Transco!B:E,4,FALSE),"")</f>
        <v/>
      </c>
      <c r="N171" s="7" t="str">
        <f>IFERROR(VLOOKUP(K171,Transco!B:E,4,FALSE),"")</f>
        <v/>
      </c>
      <c r="O171" s="84" t="s">
        <v>3018</v>
      </c>
      <c r="P171" s="81" t="str">
        <f>INDEX(Calculs,$E$2,140)</f>
        <v>Actif (bilan):Sur valeurs - goodwill brut Année N</v>
      </c>
    </row>
    <row r="172" spans="2:16" x14ac:dyDescent="0.2">
      <c r="B172" s="111" t="s">
        <v>1671</v>
      </c>
      <c r="C172" s="112"/>
      <c r="D172" s="113" t="s">
        <v>757</v>
      </c>
      <c r="E172" s="113" t="str">
        <f>INDEX(Calculs,$E$2,373)</f>
        <v>Passif (bilan):TOTAL (II) Année N</v>
      </c>
      <c r="F172" s="126" t="str">
        <f>INDEX(Calculs,$E$2,373)</f>
        <v>Passif (bilan):TOTAL (II) Année N</v>
      </c>
      <c r="G172" s="126" t="str">
        <f>INDEX(Calculs,$E$2,374)</f>
        <v>Passif (bilan):TOTAL (II) Année N-1</v>
      </c>
      <c r="I172" s="7" t="str">
        <f t="shared" si="6"/>
        <v>DO</v>
      </c>
      <c r="J172" s="7" t="str">
        <f t="shared" si="9"/>
        <v>DO</v>
      </c>
      <c r="K172" s="7" t="str">
        <f>D172&amp;"(N1)"</f>
        <v>DO(N1)</v>
      </c>
      <c r="L172" s="163" t="str">
        <f>IFERROR(VLOOKUP(D172,Transco!B:E,4,FALSE),"")</f>
        <v>=INDEX(Liste;$E$2;373)</v>
      </c>
      <c r="M172" s="7" t="str">
        <f>IFERROR(VLOOKUP(J172,Transco!B:E,4,FALSE),"")</f>
        <v>=INDEX(Liste;$E$2;373)</v>
      </c>
      <c r="N172" s="7" t="str">
        <f>IFERROR(VLOOKUP(K172,Transco!B:E,4,FALSE),"")</f>
        <v>=INDEX(Liste;$E$2;374)</v>
      </c>
      <c r="O172" s="84" t="s">
        <v>3019</v>
      </c>
      <c r="P172" s="81" t="str">
        <f>INDEX(Calculs,$E$2,141)</f>
        <v>Actif (bilan):TOTAL (I) Amortissement année N</v>
      </c>
    </row>
    <row r="173" spans="2:16" x14ac:dyDescent="0.2">
      <c r="B173" s="38"/>
      <c r="C173" s="38"/>
      <c r="D173" s="103"/>
      <c r="E173" s="103"/>
      <c r="I173" s="7">
        <f t="shared" si="6"/>
        <v>0</v>
      </c>
      <c r="J173" s="7">
        <f t="shared" si="9"/>
        <v>0</v>
      </c>
      <c r="L173" s="163" t="str">
        <f>IFERROR(VLOOKUP(D173,Transco!B:E,4,FALSE),"")</f>
        <v/>
      </c>
      <c r="M173" s="7" t="str">
        <f>IFERROR(VLOOKUP(J173,Transco!B:E,4,FALSE),"")</f>
        <v/>
      </c>
      <c r="N173" s="7" t="str">
        <f>IFERROR(VLOOKUP(K173,Transco!B:E,4,FALSE),"")</f>
        <v/>
      </c>
      <c r="O173" s="84" t="s">
        <v>3020</v>
      </c>
      <c r="P173" s="81" t="str">
        <f>INDEX(Calculs,$E$2,142)</f>
        <v>Actif (bilan):TOTAL (I) Net année N</v>
      </c>
    </row>
    <row r="174" spans="2:16" x14ac:dyDescent="0.2">
      <c r="B174" s="105" t="s">
        <v>1672</v>
      </c>
      <c r="C174" s="105"/>
      <c r="D174" s="106"/>
      <c r="E174" s="106"/>
      <c r="I174" s="7">
        <f t="shared" si="6"/>
        <v>0</v>
      </c>
      <c r="J174" s="7">
        <f t="shared" si="9"/>
        <v>0</v>
      </c>
      <c r="L174" s="163" t="str">
        <f>IFERROR(VLOOKUP(D174,Transco!B:E,4,FALSE),"")</f>
        <v/>
      </c>
      <c r="M174" s="7" t="str">
        <f>IFERROR(VLOOKUP(J174,Transco!B:E,4,FALSE),"")</f>
        <v/>
      </c>
      <c r="N174" s="7" t="str">
        <f>IFERROR(VLOOKUP(K174,Transco!B:E,4,FALSE),"")</f>
        <v/>
      </c>
      <c r="O174" s="84" t="s">
        <v>3021</v>
      </c>
      <c r="P174" s="81" t="str">
        <f>INDEX(Calculs,$E$2,143)</f>
        <v>Actif (bilan):TOTAL (I) Net année N-1</v>
      </c>
    </row>
    <row r="175" spans="2:16" x14ac:dyDescent="0.2">
      <c r="B175" s="128" t="s">
        <v>1673</v>
      </c>
      <c r="C175" s="128"/>
      <c r="D175" s="129" t="s">
        <v>1674</v>
      </c>
      <c r="E175" s="71">
        <v>0</v>
      </c>
      <c r="F175" s="71">
        <v>0</v>
      </c>
      <c r="G175" s="71">
        <v>0</v>
      </c>
      <c r="I175" s="7" t="str">
        <f t="shared" si="6"/>
        <v>CO4P</v>
      </c>
      <c r="J175" s="7" t="str">
        <f t="shared" si="9"/>
        <v>CO4P</v>
      </c>
      <c r="K175" s="7" t="str">
        <f t="shared" ref="K175:K180" si="10">D175&amp;"(N1)"</f>
        <v>CO4P(N1)</v>
      </c>
      <c r="L175" s="163" t="str">
        <f>IFERROR(VLOOKUP(D175,Transco!B:E,4,FALSE),"")</f>
        <v/>
      </c>
      <c r="M175" s="7" t="str">
        <f>IFERROR(VLOOKUP(J175,Transco!B:E,4,FALSE),"")</f>
        <v/>
      </c>
      <c r="N175" s="7" t="str">
        <f>IFERROR(VLOOKUP(K175,Transco!B:E,4,FALSE),"")</f>
        <v/>
      </c>
      <c r="O175" s="84" t="s">
        <v>197</v>
      </c>
      <c r="P175" s="81" t="str">
        <f>INDEX(Calculs,$E$2,144)</f>
        <v>Actif (bilan):TOTAL (I) brut Année N</v>
      </c>
    </row>
    <row r="176" spans="2:16" x14ac:dyDescent="0.2">
      <c r="B176" s="128" t="s">
        <v>1675</v>
      </c>
      <c r="C176" s="128"/>
      <c r="D176" s="129" t="s">
        <v>707</v>
      </c>
      <c r="E176" s="71" t="str">
        <f>INDEX(Calculs,$E$2,315)</f>
        <v>Passif (bilan):Dans les réserves Année N</v>
      </c>
      <c r="F176" s="71" t="str">
        <f>INDEX(Calculs,$E$2,315)</f>
        <v>Passif (bilan):Dans les réserves Année N</v>
      </c>
      <c r="G176" s="71" t="str">
        <f>INDEX(Calculs,$E$2,316)</f>
        <v>Passif (bilan):Dans les réserves Année N-1</v>
      </c>
      <c r="I176" s="7" t="str">
        <f t="shared" ref="I176:I239" si="11">D176</f>
        <v>CO5P</v>
      </c>
      <c r="J176" s="7" t="str">
        <f t="shared" si="9"/>
        <v>CO5P</v>
      </c>
      <c r="K176" s="7" t="str">
        <f t="shared" si="10"/>
        <v>CO5P(N1)</v>
      </c>
      <c r="L176" s="163" t="str">
        <f>IFERROR(VLOOKUP(D176,Transco!B:E,4,FALSE),"")</f>
        <v>=INDEX(Liste;$E$2;315)</v>
      </c>
      <c r="M176" s="7" t="str">
        <f>IFERROR(VLOOKUP(J176,Transco!B:E,4,FALSE),"")</f>
        <v>=INDEX(Liste;$E$2;315)</v>
      </c>
      <c r="N176" s="7" t="str">
        <f>IFERROR(VLOOKUP(K176,Transco!B:E,4,FALSE),"")</f>
        <v>=INDEX(Liste;$E$2;316)</v>
      </c>
      <c r="O176" s="84" t="s">
        <v>3022</v>
      </c>
      <c r="P176" s="81" t="str">
        <f>INDEX(Calculs,$E$2,145)</f>
        <v>Actif (bilan):TOTAL (II) Amortissement année N</v>
      </c>
    </row>
    <row r="177" spans="2:16" x14ac:dyDescent="0.2">
      <c r="B177" s="128" t="s">
        <v>1676</v>
      </c>
      <c r="C177" s="128"/>
      <c r="D177" s="129" t="s">
        <v>709</v>
      </c>
      <c r="E177" s="71" t="str">
        <f>INDEX(Calculs,$E$2,317)</f>
        <v>Passif (bilan):Dans les résultats Année N</v>
      </c>
      <c r="F177" s="71" t="str">
        <f>INDEX(Calculs,$E$2,317)</f>
        <v>Passif (bilan):Dans les résultats Année N</v>
      </c>
      <c r="G177" s="71" t="str">
        <f>INDEX(Calculs,$E$2,318)</f>
        <v>Passif (bilan):Dans les résultats Année N-1</v>
      </c>
      <c r="I177" s="7" t="str">
        <f t="shared" si="11"/>
        <v>CO6P</v>
      </c>
      <c r="J177" s="7" t="str">
        <f t="shared" si="9"/>
        <v>CO6P</v>
      </c>
      <c r="K177" s="7" t="str">
        <f t="shared" si="10"/>
        <v>CO6P(N1)</v>
      </c>
      <c r="L177" s="163" t="str">
        <f>IFERROR(VLOOKUP(D177,Transco!B:E,4,FALSE),"")</f>
        <v>=INDEX(Liste;$E$2;317)</v>
      </c>
      <c r="M177" s="7" t="str">
        <f>IFERROR(VLOOKUP(J177,Transco!B:E,4,FALSE),"")</f>
        <v>=INDEX(Liste;$E$2;317)</v>
      </c>
      <c r="N177" s="7" t="str">
        <f>IFERROR(VLOOKUP(K177,Transco!B:E,4,FALSE),"")</f>
        <v>=INDEX(Liste;$E$2;318)</v>
      </c>
      <c r="O177" s="84" t="s">
        <v>3023</v>
      </c>
      <c r="P177" s="81" t="str">
        <f>INDEX(Calculs,$E$2,146)</f>
        <v>Actif (bilan):TOTAL (II) Net année N</v>
      </c>
    </row>
    <row r="178" spans="2:16" x14ac:dyDescent="0.2">
      <c r="B178" s="111" t="s">
        <v>1677</v>
      </c>
      <c r="C178" s="112"/>
      <c r="D178" s="113" t="s">
        <v>1678</v>
      </c>
      <c r="E178" s="130">
        <f>SUM(E175:E177)</f>
        <v>0</v>
      </c>
      <c r="F178" s="130">
        <f>SUM(F175:F177)</f>
        <v>0</v>
      </c>
      <c r="G178" s="130">
        <f>SUM(G175:G177)</f>
        <v>0</v>
      </c>
      <c r="I178" s="7" t="str">
        <f t="shared" si="11"/>
        <v>CO7P</v>
      </c>
      <c r="J178" s="7" t="str">
        <f t="shared" si="9"/>
        <v>CO7P</v>
      </c>
      <c r="K178" s="7" t="str">
        <f t="shared" si="10"/>
        <v>CO7P(N1)</v>
      </c>
      <c r="L178" s="163" t="str">
        <f>IFERROR(VLOOKUP(D178,Transco!B:E,4,FALSE),"")</f>
        <v/>
      </c>
      <c r="M178" s="7" t="str">
        <f>IFERROR(VLOOKUP(J178,Transco!B:E,4,FALSE),"")</f>
        <v/>
      </c>
      <c r="N178" s="7" t="str">
        <f>IFERROR(VLOOKUP(K178,Transco!B:E,4,FALSE),"")</f>
        <v/>
      </c>
      <c r="O178" s="84" t="s">
        <v>3024</v>
      </c>
      <c r="P178" s="81" t="str">
        <f>INDEX(Calculs,$E$2,147)</f>
        <v>Actif (bilan):TOTAL (II) Net année N-1</v>
      </c>
    </row>
    <row r="179" spans="2:16" x14ac:dyDescent="0.2">
      <c r="B179" s="128" t="s">
        <v>1679</v>
      </c>
      <c r="C179" s="128"/>
      <c r="D179" s="129" t="s">
        <v>1680</v>
      </c>
      <c r="E179" s="71" t="str">
        <f>INDEX(Calculs,$E$2,345)</f>
        <v>Passif (bilan):Impo��ts différés Année N</v>
      </c>
      <c r="F179" s="71" t="str">
        <f>INDEX(Calculs,$E$2,345)</f>
        <v>Passif (bilan):Impo��ts différés Année N</v>
      </c>
      <c r="G179" s="71" t="str">
        <f>INDEX(Calculs,$E$2,346)</f>
        <v>Passif (bilan):Impo��ts différés Année N-1</v>
      </c>
      <c r="I179" s="7" t="str">
        <f t="shared" si="11"/>
        <v>CO8P</v>
      </c>
      <c r="J179" s="7" t="str">
        <f t="shared" si="9"/>
        <v>CO8P</v>
      </c>
      <c r="K179" s="7" t="str">
        <f t="shared" si="10"/>
        <v>CO8P(N1)</v>
      </c>
      <c r="L179" s="163" t="str">
        <f>IFERROR(VLOOKUP(D179,Transco!B:E,4,FALSE),"")</f>
        <v>=INDEX(Liste;$E$2;345)</v>
      </c>
      <c r="M179" s="7" t="str">
        <f>IFERROR(VLOOKUP(J179,Transco!B:E,4,FALSE),"")</f>
        <v>=INDEX(Liste;$E$2;345)</v>
      </c>
      <c r="N179" s="7" t="str">
        <f>IFERROR(VLOOKUP(K179,Transco!B:E,4,FALSE),"")</f>
        <v>=INDEX(Liste;$E$2;346)</v>
      </c>
      <c r="O179" s="84" t="s">
        <v>201</v>
      </c>
      <c r="P179" s="81" t="str">
        <f>INDEX(Calculs,$E$2,148)</f>
        <v>Actif (bilan):TOTAL (II) brut Année N</v>
      </c>
    </row>
    <row r="180" spans="2:16" x14ac:dyDescent="0.2">
      <c r="B180" s="131" t="s">
        <v>1681</v>
      </c>
      <c r="C180" s="131"/>
      <c r="D180" s="132" t="s">
        <v>1682</v>
      </c>
      <c r="E180" s="71" t="str">
        <f>INDEX(Calculs,$E$2,337)</f>
        <v>Passif (bilan):Ecarts d'acquisition Année N</v>
      </c>
      <c r="F180" s="71" t="str">
        <f>INDEX(Calculs,$E$2,337)</f>
        <v>Passif (bilan):Ecarts d'acquisition Année N</v>
      </c>
      <c r="G180" s="71" t="str">
        <f>INDEX(Calculs,$E$2,338)</f>
        <v>Passif (bilan):Ecarts d'acquisition Année N-1</v>
      </c>
      <c r="I180" s="7" t="str">
        <f t="shared" si="11"/>
        <v>CO9P</v>
      </c>
      <c r="J180" s="7" t="str">
        <f t="shared" si="9"/>
        <v>CO9P</v>
      </c>
      <c r="K180" s="7" t="str">
        <f t="shared" si="10"/>
        <v>CO9P(N1)</v>
      </c>
      <c r="L180" s="163" t="str">
        <f>IFERROR(VLOOKUP(D180,Transco!B:E,4,FALSE),"")</f>
        <v>=INDEX(Liste;$E$2;337)</v>
      </c>
      <c r="M180" s="7" t="str">
        <f>IFERROR(VLOOKUP(J180,Transco!B:E,4,FALSE),"")</f>
        <v>=INDEX(Liste;$E$2;337)</v>
      </c>
      <c r="N180" s="7" t="str">
        <f>IFERROR(VLOOKUP(K180,Transco!B:E,4,FALSE),"")</f>
        <v>=INDEX(Liste;$E$2;338)</v>
      </c>
      <c r="O180" s="84" t="s">
        <v>3025</v>
      </c>
      <c r="P180" s="81" t="str">
        <f>INDEX(Calculs,$E$2,149)</f>
        <v>Actif (bilan):TOTAL GENERAL (0 à V) Amortissement année N</v>
      </c>
    </row>
    <row r="181" spans="2:16" x14ac:dyDescent="0.2">
      <c r="I181" s="7">
        <f t="shared" si="11"/>
        <v>0</v>
      </c>
      <c r="J181" s="7">
        <f t="shared" si="9"/>
        <v>0</v>
      </c>
      <c r="L181" s="163" t="str">
        <f>IFERROR(VLOOKUP(D181,Transco!B:E,4,FALSE),"")</f>
        <v/>
      </c>
      <c r="M181" s="7" t="str">
        <f>IFERROR(VLOOKUP(J181,Transco!B:E,4,FALSE),"")</f>
        <v/>
      </c>
      <c r="N181" s="7" t="str">
        <f>IFERROR(VLOOKUP(K181,Transco!B:E,4,FALSE),"")</f>
        <v/>
      </c>
      <c r="O181" s="84" t="s">
        <v>3026</v>
      </c>
      <c r="P181" s="81" t="str">
        <f>INDEX(Calculs,$E$2,150)</f>
        <v>Actif (bilan):TOTAL GENERAL (0 à V) Net année N</v>
      </c>
    </row>
    <row r="182" spans="2:16" x14ac:dyDescent="0.2">
      <c r="B182" s="39" t="s">
        <v>1683</v>
      </c>
      <c r="C182" s="40"/>
      <c r="D182" s="41" t="s">
        <v>741</v>
      </c>
      <c r="E182" s="117" t="str">
        <f>INDEX(Calculs,$E$2,353)</f>
        <v>Passif (bilan):Provisions pour charges Année N</v>
      </c>
      <c r="F182" s="133" t="str">
        <f>INDEX(Calculs,$E$2,353)</f>
        <v>Passif (bilan):Provisions pour charges Année N</v>
      </c>
      <c r="G182" s="133" t="str">
        <f>INDEX(Calculs,$E$2,354)</f>
        <v>Passif (bilan):Provisions pour charges Année N-1</v>
      </c>
      <c r="I182" s="7" t="str">
        <f t="shared" si="11"/>
        <v>DP</v>
      </c>
      <c r="J182" s="7" t="str">
        <f t="shared" si="9"/>
        <v>DP</v>
      </c>
      <c r="K182" s="7" t="str">
        <f>D182&amp;"(N1)"</f>
        <v>DP(N1)</v>
      </c>
      <c r="L182" s="163" t="str">
        <f>IFERROR(VLOOKUP(D182,Transco!B:E,4,FALSE),"")</f>
        <v>=INDEX(Liste;$E$2;353)</v>
      </c>
      <c r="M182" s="7" t="str">
        <f>IFERROR(VLOOKUP(J182,Transco!B:E,4,FALSE),"")</f>
        <v>=INDEX(Liste;$E$2;353)</v>
      </c>
      <c r="N182" s="7" t="str">
        <f>IFERROR(VLOOKUP(K182,Transco!B:E,4,FALSE),"")</f>
        <v>=INDEX(Liste;$E$2;354)</v>
      </c>
      <c r="O182" s="84" t="s">
        <v>3027</v>
      </c>
      <c r="P182" s="81" t="str">
        <f>INDEX(Calculs,$E$2,151)</f>
        <v>Actif (bilan):TOTAL GENERAL (0 à V) Net année N-1</v>
      </c>
    </row>
    <row r="183" spans="2:16" x14ac:dyDescent="0.2">
      <c r="B183" s="39" t="s">
        <v>1684</v>
      </c>
      <c r="C183" s="40"/>
      <c r="D183" s="41" t="s">
        <v>743</v>
      </c>
      <c r="E183" s="117" t="str">
        <f>INDEX(Calculs,$E$2,355)</f>
        <v>Passif (bilan):Provisions pour risques Année N</v>
      </c>
      <c r="F183" s="133" t="str">
        <f>INDEX(Calculs,$E$2,355)</f>
        <v>Passif (bilan):Provisions pour risques Année N</v>
      </c>
      <c r="G183" s="133" t="str">
        <f>INDEX(Calculs,$E$2,356)</f>
        <v>Passif (bilan):Provisions pour risques Année N-1</v>
      </c>
      <c r="I183" s="7" t="str">
        <f t="shared" si="11"/>
        <v>DQ</v>
      </c>
      <c r="J183" s="7" t="str">
        <f t="shared" si="9"/>
        <v>DQ</v>
      </c>
      <c r="K183" s="7" t="str">
        <f>D183&amp;"(N1)"</f>
        <v>DQ(N1)</v>
      </c>
      <c r="L183" s="163" t="str">
        <f>IFERROR(VLOOKUP(D183,Transco!B:E,4,FALSE),"")</f>
        <v>=INDEX(Liste;$E$2;355)</v>
      </c>
      <c r="M183" s="7" t="str">
        <f>IFERROR(VLOOKUP(J183,Transco!B:E,4,FALSE),"")</f>
        <v>=INDEX(Liste;$E$2;355)</v>
      </c>
      <c r="N183" s="7" t="str">
        <f>IFERROR(VLOOKUP(K183,Transco!B:E,4,FALSE),"")</f>
        <v>=INDEX(Liste;$E$2;356)</v>
      </c>
      <c r="O183" s="84" t="s">
        <v>205</v>
      </c>
      <c r="P183" s="81" t="str">
        <f>INDEX(Calculs,$E$2,152)</f>
        <v>Actif (bilan):TOTAL GENERAL (0 à V) brut Année N</v>
      </c>
    </row>
    <row r="184" spans="2:16" x14ac:dyDescent="0.2">
      <c r="I184" s="7">
        <f t="shared" si="11"/>
        <v>0</v>
      </c>
      <c r="J184" s="7">
        <f t="shared" si="9"/>
        <v>0</v>
      </c>
      <c r="L184" s="163" t="str">
        <f>IFERROR(VLOOKUP(D184,Transco!B:E,4,FALSE),"")</f>
        <v/>
      </c>
      <c r="M184" s="7" t="str">
        <f>IFERROR(VLOOKUP(J184,Transco!B:E,4,FALSE),"")</f>
        <v/>
      </c>
      <c r="N184" s="7" t="str">
        <f>IFERROR(VLOOKUP(K184,Transco!B:E,4,FALSE),"")</f>
        <v/>
      </c>
      <c r="O184" s="84" t="s">
        <v>3028</v>
      </c>
      <c r="P184" s="81" t="str">
        <f>INDEX(Calculs,$E$2,153)</f>
        <v>Actif (bilan):Terrains Amortissement année N</v>
      </c>
    </row>
    <row r="185" spans="2:16" x14ac:dyDescent="0.2">
      <c r="B185" s="111" t="s">
        <v>1685</v>
      </c>
      <c r="C185" s="112"/>
      <c r="D185" s="113" t="s">
        <v>759</v>
      </c>
      <c r="E185" s="130" t="str">
        <f>INDEX(Calculs,$E$2,375)</f>
        <v>Passif (bilan):TOTAL (III) Année N</v>
      </c>
      <c r="F185" s="130" t="str">
        <f>INDEX(Calculs,$E$2,375)</f>
        <v>Passif (bilan):TOTAL (III) Année N</v>
      </c>
      <c r="G185" s="130" t="str">
        <f>INDEX(Calculs,$E$2,376)</f>
        <v>Passif (bilan):TOTAL (III) Année N-1</v>
      </c>
      <c r="I185" s="7" t="str">
        <f t="shared" si="11"/>
        <v>DR</v>
      </c>
      <c r="J185" s="7" t="str">
        <f t="shared" si="9"/>
        <v>DR</v>
      </c>
      <c r="K185" s="7" t="str">
        <f>D185&amp;"(N1)"</f>
        <v>DR(N1)</v>
      </c>
      <c r="L185" s="163" t="str">
        <f>IFERROR(VLOOKUP(D185,Transco!B:E,4,FALSE),"")</f>
        <v>=INDEX(Liste;$E$2;375)</v>
      </c>
      <c r="M185" s="7" t="str">
        <f>IFERROR(VLOOKUP(J185,Transco!B:E,4,FALSE),"")</f>
        <v>=INDEX(Liste;$E$2;375)</v>
      </c>
      <c r="N185" s="7" t="str">
        <f>IFERROR(VLOOKUP(K185,Transco!B:E,4,FALSE),"")</f>
        <v>=INDEX(Liste;$E$2;376)</v>
      </c>
      <c r="O185" s="84" t="s">
        <v>3029</v>
      </c>
      <c r="P185" s="81" t="str">
        <f>INDEX(Calculs,$E$2,154)</f>
        <v>Actif (bilan):Terrains Net année N</v>
      </c>
    </row>
    <row r="186" spans="2:16" x14ac:dyDescent="0.2">
      <c r="I186" s="7">
        <f t="shared" si="11"/>
        <v>0</v>
      </c>
      <c r="J186" s="7">
        <f t="shared" si="9"/>
        <v>0</v>
      </c>
      <c r="L186" s="163" t="str">
        <f>IFERROR(VLOOKUP(D186,Transco!B:E,4,FALSE),"")</f>
        <v/>
      </c>
      <c r="M186" s="7" t="str">
        <f>IFERROR(VLOOKUP(J186,Transco!B:E,4,FALSE),"")</f>
        <v/>
      </c>
      <c r="N186" s="7" t="str">
        <f>IFERROR(VLOOKUP(K186,Transco!B:E,4,FALSE),"")</f>
        <v/>
      </c>
      <c r="O186" s="84" t="s">
        <v>3030</v>
      </c>
      <c r="P186" s="81" t="str">
        <f>INDEX(Calculs,$E$2,155)</f>
        <v>Actif (bilan):Terrains Net année N-1</v>
      </c>
    </row>
    <row r="187" spans="2:16" x14ac:dyDescent="0.2">
      <c r="B187" s="105" t="s">
        <v>1686</v>
      </c>
      <c r="C187" s="38"/>
      <c r="D187" s="103"/>
      <c r="E187" s="103"/>
      <c r="I187" s="7">
        <f t="shared" si="11"/>
        <v>0</v>
      </c>
      <c r="J187" s="7">
        <f t="shared" si="9"/>
        <v>0</v>
      </c>
      <c r="L187" s="163" t="str">
        <f>IFERROR(VLOOKUP(D187,Transco!B:E,4,FALSE),"")</f>
        <v/>
      </c>
      <c r="M187" s="7" t="str">
        <f>IFERROR(VLOOKUP(J187,Transco!B:E,4,FALSE),"")</f>
        <v/>
      </c>
      <c r="N187" s="7" t="str">
        <f>IFERROR(VLOOKUP(K187,Transco!B:E,4,FALSE),"")</f>
        <v/>
      </c>
      <c r="O187" s="85" t="s">
        <v>3031</v>
      </c>
      <c r="P187" s="81" t="str">
        <f>INDEX(Calculs,$E$2,158)</f>
        <v>Actif (bilan):Titres mis en équivalence Net année N</v>
      </c>
    </row>
    <row r="188" spans="2:16" x14ac:dyDescent="0.2">
      <c r="C188" s="105"/>
      <c r="D188" s="106"/>
      <c r="E188" s="106"/>
      <c r="I188" s="7">
        <f t="shared" si="11"/>
        <v>0</v>
      </c>
      <c r="J188" s="7">
        <f t="shared" si="9"/>
        <v>0</v>
      </c>
      <c r="L188" s="163" t="str">
        <f>IFERROR(VLOOKUP(D188,Transco!B:E,4,FALSE),"")</f>
        <v/>
      </c>
      <c r="M188" s="7" t="str">
        <f>IFERROR(VLOOKUP(J188,Transco!B:E,4,FALSE),"")</f>
        <v/>
      </c>
      <c r="N188" s="7" t="str">
        <f>IFERROR(VLOOKUP(K188,Transco!B:E,4,FALSE),"")</f>
        <v/>
      </c>
      <c r="O188" s="85" t="s">
        <v>3032</v>
      </c>
      <c r="P188" s="81" t="str">
        <f>INDEX(Calculs,$E$2,159)</f>
        <v>Actif (bilan):Titres mis en équivalence Net année N-1</v>
      </c>
    </row>
    <row r="189" spans="2:16" x14ac:dyDescent="0.2">
      <c r="B189" s="105" t="s">
        <v>1687</v>
      </c>
      <c r="C189" s="38"/>
      <c r="D189" s="103"/>
      <c r="E189" s="103"/>
      <c r="I189" s="7">
        <f t="shared" si="11"/>
        <v>0</v>
      </c>
      <c r="J189" s="7">
        <f t="shared" si="9"/>
        <v>0</v>
      </c>
      <c r="L189" s="163" t="str">
        <f>IFERROR(VLOOKUP(D189,Transco!B:E,4,FALSE),"")</f>
        <v/>
      </c>
      <c r="M189" s="7" t="str">
        <f>IFERROR(VLOOKUP(J189,Transco!B:E,4,FALSE),"")</f>
        <v/>
      </c>
      <c r="N189" s="7" t="str">
        <f>IFERROR(VLOOKUP(K189,Transco!B:E,4,FALSE),"")</f>
        <v/>
      </c>
      <c r="O189" s="85" t="s">
        <v>3033</v>
      </c>
      <c r="P189" s="81" t="str">
        <f>INDEX(Calculs,$E$2,160)</f>
        <v>Actif (bilan):Titres mis en équivalence brut Année N</v>
      </c>
    </row>
    <row r="190" spans="2:16" x14ac:dyDescent="0.2">
      <c r="B190" s="39" t="s">
        <v>1688</v>
      </c>
      <c r="C190" s="40"/>
      <c r="D190" s="41" t="s">
        <v>733</v>
      </c>
      <c r="E190" s="57" t="str">
        <f>INDEX(Calculs,$E$2,343)</f>
        <v>Passif (bilan):Emprunts obligataires convertibles Année N</v>
      </c>
      <c r="F190" s="71" t="str">
        <f>INDEX(Calculs,$E$2,343)</f>
        <v>Passif (bilan):Emprunts obligataires convertibles Année N</v>
      </c>
      <c r="G190" s="71" t="str">
        <f>INDEX(Calculs,$E$2,344)</f>
        <v>Passif (bilan):Emprunts obligataires convertibles Année N-1</v>
      </c>
      <c r="I190" s="7" t="str">
        <f t="shared" si="11"/>
        <v>DS</v>
      </c>
      <c r="J190" s="7" t="str">
        <f t="shared" si="9"/>
        <v>DS</v>
      </c>
      <c r="K190" s="7" t="str">
        <f>D190&amp;"(N1)"</f>
        <v>DS(N1)</v>
      </c>
      <c r="L190" s="163" t="str">
        <f>IFERROR(VLOOKUP(D190,Transco!B:E,4,FALSE),"")</f>
        <v>=INDEX(Liste;$E$2;343)</v>
      </c>
      <c r="M190" s="7" t="str">
        <f>IFERROR(VLOOKUP(J190,Transco!B:E,4,FALSE),"")</f>
        <v>=INDEX(Liste;$E$2;343)</v>
      </c>
      <c r="N190" s="7" t="str">
        <f>IFERROR(VLOOKUP(K190,Transco!B:E,4,FALSE),"")</f>
        <v>=INDEX(Liste;$E$2;344)</v>
      </c>
      <c r="O190" s="85" t="s">
        <v>3034</v>
      </c>
      <c r="P190" s="81" t="str">
        <f>INDEX(Calculs,$E$2,161)</f>
        <v>Actif (bilan):Valeurs mobiliéres de placement Amortissement année N</v>
      </c>
    </row>
    <row r="191" spans="2:16" x14ac:dyDescent="0.2">
      <c r="B191" s="39" t="s">
        <v>1689</v>
      </c>
      <c r="C191" s="40"/>
      <c r="D191" s="41" t="s">
        <v>697</v>
      </c>
      <c r="E191" s="57" t="str">
        <f>INDEX(Calculs,$E$2,305)</f>
        <v>Passif (bilan):Autres emprunts obligataires Année N</v>
      </c>
      <c r="F191" s="71" t="str">
        <f>INDEX(Calculs,$E$2,305)</f>
        <v>Passif (bilan):Autres emprunts obligataires Année N</v>
      </c>
      <c r="G191" s="71" t="str">
        <f>INDEX(Calculs,$E$2,306)</f>
        <v>Passif (bilan):Autres emprunts obligataires Année N-1</v>
      </c>
      <c r="I191" s="7" t="str">
        <f t="shared" si="11"/>
        <v>DT</v>
      </c>
      <c r="J191" s="7" t="str">
        <f t="shared" si="9"/>
        <v>DT</v>
      </c>
      <c r="K191" s="7" t="str">
        <f>D191&amp;"(N1)"</f>
        <v>DT(N1)</v>
      </c>
      <c r="L191" s="163" t="str">
        <f>IFERROR(VLOOKUP(D191,Transco!B:E,4,FALSE),"")</f>
        <v>=INDEX(Liste;$E$2;305)</v>
      </c>
      <c r="M191" s="7" t="str">
        <f>IFERROR(VLOOKUP(J191,Transco!B:E,4,FALSE),"")</f>
        <v>=INDEX(Liste;$E$2;305)</v>
      </c>
      <c r="N191" s="7" t="str">
        <f>IFERROR(VLOOKUP(K191,Transco!B:E,4,FALSE),"")</f>
        <v>=INDEX(Liste;$E$2;306)</v>
      </c>
      <c r="O191" s="85" t="s">
        <v>213</v>
      </c>
      <c r="P191" s="81" t="str">
        <f>INDEX(Calculs,$E$2,162)</f>
        <v>Actif (bilan):Valeurs mobiliéres de placement Net année N</v>
      </c>
    </row>
    <row r="192" spans="2:16" x14ac:dyDescent="0.2">
      <c r="B192" s="39" t="s">
        <v>1690</v>
      </c>
      <c r="C192" s="40"/>
      <c r="D192" s="41" t="s">
        <v>729</v>
      </c>
      <c r="E192" s="57" t="str">
        <f>INDEX(Calculs,$E$2,339)</f>
        <v>Passif (bilan):Emprunts et dettes auprés des établissements de crédit (3) Année N</v>
      </c>
      <c r="F192" s="71" t="str">
        <f>INDEX(Calculs,$E$2,339)</f>
        <v>Passif (bilan):Emprunts et dettes auprés des établissements de crédit (3) Année N</v>
      </c>
      <c r="G192" s="71" t="str">
        <f>INDEX(Calculs,$E$2,340)</f>
        <v>Passif (bilan):Emprunts et dettes auprés des établissements de crédit (3) Année N-1</v>
      </c>
      <c r="I192" s="7" t="str">
        <f t="shared" si="11"/>
        <v>DU</v>
      </c>
      <c r="J192" s="7" t="str">
        <f t="shared" si="9"/>
        <v>DU</v>
      </c>
      <c r="K192" s="7" t="str">
        <f>D192&amp;"(N1)"</f>
        <v>DU(N1)</v>
      </c>
      <c r="L192" s="163" t="str">
        <f>IFERROR(VLOOKUP(D192,Transco!B:E,4,FALSE),"")</f>
        <v>=INDEX(Liste;$E$2;339)</v>
      </c>
      <c r="M192" s="7" t="str">
        <f>IFERROR(VLOOKUP(J192,Transco!B:E,4,FALSE),"")</f>
        <v>=INDEX(Liste;$E$2;339)</v>
      </c>
      <c r="N192" s="7" t="str">
        <f>IFERROR(VLOOKUP(K192,Transco!B:E,4,FALSE),"")</f>
        <v>=INDEX(Liste;$E$2;340)</v>
      </c>
      <c r="O192" s="85" t="s">
        <v>3035</v>
      </c>
      <c r="P192" s="81" t="str">
        <f>INDEX(Calculs,$E$2,163)</f>
        <v>Actif (bilan):Valeurs mobiliéres de placement Net année N-1</v>
      </c>
    </row>
    <row r="193" spans="2:16" x14ac:dyDescent="0.2">
      <c r="B193" s="39" t="s">
        <v>1691</v>
      </c>
      <c r="C193" s="40"/>
      <c r="D193" s="41" t="s">
        <v>731</v>
      </c>
      <c r="E193" s="57" t="str">
        <f>INDEX(Calculs,$E$2,341)</f>
        <v>Passif (bilan):Emprunts et dettes financiéres divers (4) Année N</v>
      </c>
      <c r="F193" s="71" t="str">
        <f>INDEX(Calculs,$E$2,341)</f>
        <v>Passif (bilan):Emprunts et dettes financiéres divers (4) Année N</v>
      </c>
      <c r="G193" s="71" t="str">
        <f>INDEX(Calculs,$E$2,342)</f>
        <v>Passif (bilan):Emprunts et dettes financiéres divers (4) Année N-1</v>
      </c>
      <c r="I193" s="7" t="str">
        <f t="shared" si="11"/>
        <v>DV</v>
      </c>
      <c r="J193" s="7" t="str">
        <f t="shared" si="9"/>
        <v>DV</v>
      </c>
      <c r="K193" s="7" t="str">
        <f>D193&amp;"(N1)"</f>
        <v>DV(N1)</v>
      </c>
      <c r="L193" s="163" t="str">
        <f>IFERROR(VLOOKUP(D193,Transco!B:E,4,FALSE),"")</f>
        <v>=INDEX(Liste;$E$2;341)</v>
      </c>
      <c r="M193" s="7" t="str">
        <f>IFERROR(VLOOKUP(J193,Transco!B:E,4,FALSE),"")</f>
        <v>=INDEX(Liste;$E$2;341)</v>
      </c>
      <c r="N193" s="7" t="str">
        <f>IFERROR(VLOOKUP(K193,Transco!B:E,4,FALSE),"")</f>
        <v>=INDEX(Liste;$E$2;342)</v>
      </c>
      <c r="O193" s="85" t="s">
        <v>3036</v>
      </c>
      <c r="P193" s="81" t="str">
        <f>INDEX(Calculs,$E$2,164)</f>
        <v>Actif (bilan):Valeurs mobiliéres de placement brut Année N</v>
      </c>
    </row>
    <row r="194" spans="2:16" x14ac:dyDescent="0.2">
      <c r="B194" s="38"/>
      <c r="C194" s="38"/>
      <c r="D194" s="103"/>
      <c r="E194" s="103"/>
      <c r="I194" s="7">
        <f t="shared" si="11"/>
        <v>0</v>
      </c>
      <c r="J194" s="7">
        <f t="shared" si="9"/>
        <v>0</v>
      </c>
      <c r="L194" s="163" t="str">
        <f>IFERROR(VLOOKUP(D194,Transco!B:E,4,FALSE),"")</f>
        <v/>
      </c>
      <c r="M194" s="7" t="str">
        <f>IFERROR(VLOOKUP(J194,Transco!B:E,4,FALSE),"")</f>
        <v/>
      </c>
      <c r="N194" s="7" t="str">
        <f>IFERROR(VLOOKUP(K194,Transco!B:E,4,FALSE),"")</f>
        <v/>
      </c>
      <c r="O194" s="85" t="s">
        <v>3037</v>
      </c>
      <c r="P194" s="81" t="str">
        <f>INDEX(Calculs,$E$2,165)</f>
        <v>Compte de résultat (suite):- RESULTAT EXCEPTIONNEL (VII - VIII) Année N</v>
      </c>
    </row>
    <row r="195" spans="2:16" x14ac:dyDescent="0.2">
      <c r="B195" s="105" t="s">
        <v>1692</v>
      </c>
      <c r="C195" s="38"/>
      <c r="D195" s="103"/>
      <c r="E195" s="103"/>
      <c r="I195" s="7">
        <f t="shared" si="11"/>
        <v>0</v>
      </c>
      <c r="J195" s="7">
        <f t="shared" si="9"/>
        <v>0</v>
      </c>
      <c r="L195" s="163" t="str">
        <f>IFERROR(VLOOKUP(D195,Transco!B:E,4,FALSE),"")</f>
        <v/>
      </c>
      <c r="M195" s="7" t="str">
        <f>IFERROR(VLOOKUP(J195,Transco!B:E,4,FALSE),"")</f>
        <v/>
      </c>
      <c r="N195" s="7" t="str">
        <f>IFERROR(VLOOKUP(K195,Transco!B:E,4,FALSE),"")</f>
        <v/>
      </c>
      <c r="O195" s="85" t="s">
        <v>3038</v>
      </c>
      <c r="P195" s="81" t="str">
        <f>INDEX(Calculs,$E$2,166)</f>
        <v>Compte de résultat (suite):- RESULTAT EXCEPTIONNEL (VII - VIII) Année N-1</v>
      </c>
    </row>
    <row r="196" spans="2:16" x14ac:dyDescent="0.2">
      <c r="B196" s="39" t="s">
        <v>1693</v>
      </c>
      <c r="C196" s="40"/>
      <c r="D196" s="41" t="s">
        <v>703</v>
      </c>
      <c r="E196" s="57" t="str">
        <f>INDEX(Calculs,$E$2,311)</f>
        <v>Passif (bilan):Avances et acomptes rec'�us sur commandes en cours Année N</v>
      </c>
      <c r="F196" s="71" t="str">
        <f>INDEX(Calculs,$E$2,311)</f>
        <v>Passif (bilan):Avances et acomptes rec'�us sur commandes en cours Année N</v>
      </c>
      <c r="G196" s="71" t="str">
        <f>INDEX(Calculs,$E$2,312)</f>
        <v>Passif (bilan):Avances et acomptes rec'�us sur commandes en cours Année N-1</v>
      </c>
      <c r="I196" s="7" t="str">
        <f t="shared" si="11"/>
        <v>DW</v>
      </c>
      <c r="J196" s="7" t="str">
        <f t="shared" si="9"/>
        <v>DW</v>
      </c>
      <c r="K196" s="7" t="str">
        <f t="shared" ref="K196:K201" si="12">D196&amp;"(N1)"</f>
        <v>DW(N1)</v>
      </c>
      <c r="L196" s="163" t="str">
        <f>IFERROR(VLOOKUP(D196,Transco!B:E,4,FALSE),"")</f>
        <v>=INDEX(Liste;$E$2;311)</v>
      </c>
      <c r="M196" s="7" t="str">
        <f>IFERROR(VLOOKUP(J196,Transco!B:E,4,FALSE),"")</f>
        <v>=INDEX(Liste;$E$2;311)</v>
      </c>
      <c r="N196" s="7" t="str">
        <f>IFERROR(VLOOKUP(K196,Transco!B:E,4,FALSE),"")</f>
        <v>=INDEX(Liste;$E$2;312)</v>
      </c>
      <c r="O196" s="85" t="s">
        <v>3039</v>
      </c>
      <c r="P196" s="81" t="str">
        <f>INDEX(Calculs,$E$2,167)</f>
        <v>Compte de résultat (suite):- RESULTAT NET AVANT AMORTISSEMENT DES ECARTS d'ACQUISITION Année N</v>
      </c>
    </row>
    <row r="197" spans="2:16" x14ac:dyDescent="0.2">
      <c r="B197" s="39" t="s">
        <v>1694</v>
      </c>
      <c r="C197" s="40"/>
      <c r="D197" s="41" t="s">
        <v>715</v>
      </c>
      <c r="E197" s="57" t="str">
        <f>INDEX(Calculs,$E$2,323)</f>
        <v>Passif (bilan):Dettes fournisseurs et comptes rattachés Année N</v>
      </c>
      <c r="F197" s="71" t="str">
        <f>INDEX(Calculs,$E$2,323)</f>
        <v>Passif (bilan):Dettes fournisseurs et comptes rattachés Année N</v>
      </c>
      <c r="G197" s="71" t="str">
        <f>INDEX(Calculs,$E$2,324)</f>
        <v>Passif (bilan):Dettes fournisseurs et comptes rattachés Année N-1</v>
      </c>
      <c r="I197" s="7" t="str">
        <f t="shared" si="11"/>
        <v>DX</v>
      </c>
      <c r="J197" s="7" t="str">
        <f t="shared" si="9"/>
        <v>DX</v>
      </c>
      <c r="K197" s="7" t="str">
        <f t="shared" si="12"/>
        <v>DX(N1)</v>
      </c>
      <c r="L197" s="163" t="str">
        <f>IFERROR(VLOOKUP(D197,Transco!B:E,4,FALSE),"")</f>
        <v>=INDEX(Liste;$E$2;323)</v>
      </c>
      <c r="M197" s="7" t="str">
        <f>IFERROR(VLOOKUP(J197,Transco!B:E,4,FALSE),"")</f>
        <v>=INDEX(Liste;$E$2;323)</v>
      </c>
      <c r="N197" s="7" t="str">
        <f>IFERROR(VLOOKUP(K197,Transco!B:E,4,FALSE),"")</f>
        <v>=INDEX(Liste;$E$2;324)</v>
      </c>
      <c r="O197" s="85" t="s">
        <v>3040</v>
      </c>
      <c r="P197" s="81" t="str">
        <f>INDEX(Calculs,$E$2,168)</f>
        <v>Compte de résultat (suite):- RESULTAT NET AVANT AMORTISSEMENT DES ECARTS d'ACQUISITION Année N-1</v>
      </c>
    </row>
    <row r="198" spans="2:16" x14ac:dyDescent="0.2">
      <c r="B198" s="39" t="s">
        <v>1695</v>
      </c>
      <c r="C198" s="40"/>
      <c r="D198" s="41" t="s">
        <v>713</v>
      </c>
      <c r="E198" s="57" t="str">
        <f>INDEX(Calculs,$E$2,321)</f>
        <v>Passif (bilan):Dettes fiscales et sociales Année N</v>
      </c>
      <c r="F198" s="71" t="str">
        <f>INDEX(Calculs,$E$2,321)</f>
        <v>Passif (bilan):Dettes fiscales et sociales Année N</v>
      </c>
      <c r="G198" s="71" t="str">
        <f>INDEX(Calculs,$E$2,322)</f>
        <v>Passif (bilan):Dettes fiscales et sociales Année N-1</v>
      </c>
      <c r="I198" s="7" t="str">
        <f t="shared" si="11"/>
        <v>DY</v>
      </c>
      <c r="J198" s="7" t="str">
        <f t="shared" si="9"/>
        <v>DY</v>
      </c>
      <c r="K198" s="7" t="str">
        <f t="shared" si="12"/>
        <v>DY(N1)</v>
      </c>
      <c r="L198" s="163" t="str">
        <f>IFERROR(VLOOKUP(D198,Transco!B:E,4,FALSE),"")</f>
        <v>=INDEX(Liste;$E$2;321)</v>
      </c>
      <c r="M198" s="7" t="str">
        <f>IFERROR(VLOOKUP(J198,Transco!B:E,4,FALSE),"")</f>
        <v>=INDEX(Liste;$E$2;321)</v>
      </c>
      <c r="N198" s="7" t="str">
        <f>IFERROR(VLOOKUP(K198,Transco!B:E,4,FALSE),"")</f>
        <v>=INDEX(Liste;$E$2;322)</v>
      </c>
      <c r="O198" s="85" t="s">
        <v>3041</v>
      </c>
      <c r="P198" s="81" t="str">
        <f>INDEX(Calculs,$E$2,169)</f>
        <v>Compte de résultat (suite):Charges exceptionnelles sur opérations de gestion Année N</v>
      </c>
    </row>
    <row r="199" spans="2:16" x14ac:dyDescent="0.2">
      <c r="B199" s="39" t="s">
        <v>1696</v>
      </c>
      <c r="C199" s="40"/>
      <c r="D199" s="41" t="s">
        <v>717</v>
      </c>
      <c r="E199" s="57" t="str">
        <f>INDEX(Calculs,$E$2,325)</f>
        <v>Passif (bilan):Dettes sur immobilisations et comptes rattachés Année N</v>
      </c>
      <c r="F199" s="71" t="str">
        <f>INDEX(Calculs,$E$2,325)</f>
        <v>Passif (bilan):Dettes sur immobilisations et comptes rattachés Année N</v>
      </c>
      <c r="G199" s="71" t="str">
        <f>INDEX(Calculs,$E$2,326)</f>
        <v>Passif (bilan):Dettes sur immobilisations et comptes rattachés Année N-1</v>
      </c>
      <c r="I199" s="7" t="str">
        <f t="shared" si="11"/>
        <v>DZ</v>
      </c>
      <c r="J199" s="7" t="str">
        <f t="shared" si="9"/>
        <v>DZ</v>
      </c>
      <c r="K199" s="7" t="str">
        <f t="shared" si="12"/>
        <v>DZ(N1)</v>
      </c>
      <c r="L199" s="163" t="str">
        <f>IFERROR(VLOOKUP(D199,Transco!B:E,4,FALSE),"")</f>
        <v>=INDEX(Liste;$E$2;325)</v>
      </c>
      <c r="M199" s="7" t="str">
        <f>IFERROR(VLOOKUP(J199,Transco!B:E,4,FALSE),"")</f>
        <v>=INDEX(Liste;$E$2;325)</v>
      </c>
      <c r="N199" s="7" t="str">
        <f>IFERROR(VLOOKUP(K199,Transco!B:E,4,FALSE),"")</f>
        <v>=INDEX(Liste;$E$2;326)</v>
      </c>
      <c r="O199" s="85" t="s">
        <v>3042</v>
      </c>
      <c r="P199" s="81" t="str">
        <f>INDEX(Calculs,$E$2,170)</f>
        <v>Compte de résultat (suite):Charges exceptionnelles sur opérations de gestion Année N-1</v>
      </c>
    </row>
    <row r="200" spans="2:16" x14ac:dyDescent="0.2">
      <c r="B200" s="39" t="s">
        <v>1697</v>
      </c>
      <c r="C200" s="40"/>
      <c r="D200" s="41" t="s">
        <v>695</v>
      </c>
      <c r="E200" s="57" t="str">
        <f>INDEX(Calculs,$E$2,303)</f>
        <v>Passif (bilan):Autres dettes Année N</v>
      </c>
      <c r="F200" s="71" t="str">
        <f>INDEX(Calculs,$E$2,303)</f>
        <v>Passif (bilan):Autres dettes Année N</v>
      </c>
      <c r="G200" s="71" t="str">
        <f>INDEX(Calculs,$E$2,304)</f>
        <v>Passif (bilan):Autres dettes Année N-1</v>
      </c>
      <c r="I200" s="7" t="str">
        <f t="shared" si="11"/>
        <v>EA</v>
      </c>
      <c r="J200" s="7" t="str">
        <f t="shared" si="9"/>
        <v>EA</v>
      </c>
      <c r="K200" s="7" t="str">
        <f t="shared" si="12"/>
        <v>EA(N1)</v>
      </c>
      <c r="L200" s="163" t="str">
        <f>IFERROR(VLOOKUP(D200,Transco!B:E,4,FALSE),"")</f>
        <v>=INDEX(Liste;$E$2;303)</v>
      </c>
      <c r="M200" s="7" t="str">
        <f>IFERROR(VLOOKUP(J200,Transco!B:E,4,FALSE),"")</f>
        <v>=INDEX(Liste;$E$2;303)</v>
      </c>
      <c r="N200" s="7" t="str">
        <f>IFERROR(VLOOKUP(K200,Transco!B:E,4,FALSE),"")</f>
        <v>=INDEX(Liste;$E$2;304)</v>
      </c>
      <c r="O200" s="85" t="s">
        <v>3043</v>
      </c>
      <c r="P200" s="81" t="str">
        <f>INDEX(Calculs,$E$2,171)</f>
        <v>Compte de résultat (suite):Charges exceptionnelles sur opérations en capital Année N</v>
      </c>
    </row>
    <row r="201" spans="2:16" x14ac:dyDescent="0.2">
      <c r="B201" s="39" t="s">
        <v>1698</v>
      </c>
      <c r="C201" s="40"/>
      <c r="D201" s="41" t="s">
        <v>739</v>
      </c>
      <c r="E201" s="57" t="str">
        <f>INDEX(Calculs,$E$2,351)</f>
        <v>Passif (bilan):Produits constatés d'avance (2) Année N</v>
      </c>
      <c r="F201" s="71" t="str">
        <f>INDEX(Calculs,$E$2,351)</f>
        <v>Passif (bilan):Produits constatés d'avance (2) Année N</v>
      </c>
      <c r="G201" s="71" t="str">
        <f>INDEX(Calculs,$E$2,352)</f>
        <v>Passif (bilan):Produits constatés d'avance (2) Année N-1</v>
      </c>
      <c r="I201" s="7" t="str">
        <f t="shared" si="11"/>
        <v>EB</v>
      </c>
      <c r="J201" s="7" t="str">
        <f t="shared" si="9"/>
        <v>EB</v>
      </c>
      <c r="K201" s="7" t="str">
        <f t="shared" si="12"/>
        <v>EB(N1)</v>
      </c>
      <c r="L201" s="163" t="str">
        <f>IFERROR(VLOOKUP(D201,Transco!B:E,4,FALSE),"")</f>
        <v>=INDEX(Liste;$E$2;351)</v>
      </c>
      <c r="M201" s="7" t="str">
        <f>IFERROR(VLOOKUP(J201,Transco!B:E,4,FALSE),"")</f>
        <v>=INDEX(Liste;$E$2;351)</v>
      </c>
      <c r="N201" s="7" t="str">
        <f>IFERROR(VLOOKUP(K201,Transco!B:E,4,FALSE),"")</f>
        <v>=INDEX(Liste;$E$2;352)</v>
      </c>
      <c r="O201" s="85" t="s">
        <v>3044</v>
      </c>
      <c r="P201" s="81" t="str">
        <f>INDEX(Calculs,$E$2,172)</f>
        <v>Compte de résultat (suite):Charges exceptionnelles sur opérations en capital Année N-1</v>
      </c>
    </row>
    <row r="202" spans="2:16" x14ac:dyDescent="0.2">
      <c r="I202" s="7">
        <f t="shared" si="11"/>
        <v>0</v>
      </c>
      <c r="J202" s="7">
        <f t="shared" si="9"/>
        <v>0</v>
      </c>
      <c r="L202" s="163" t="str">
        <f>IFERROR(VLOOKUP(D202,Transco!B:E,4,FALSE),"")</f>
        <v/>
      </c>
      <c r="M202" s="7" t="str">
        <f>IFERROR(VLOOKUP(J202,Transco!B:E,4,FALSE),"")</f>
        <v/>
      </c>
      <c r="N202" s="7" t="str">
        <f>IFERROR(VLOOKUP(K202,Transco!B:E,4,FALSE),"")</f>
        <v/>
      </c>
      <c r="O202" s="85" t="s">
        <v>3045</v>
      </c>
      <c r="P202" s="81" t="str">
        <f>INDEX(Calculs,$E$2,173)</f>
        <v>Compte de résultat (suite):Dotation aux amortissements des écarts d'acquisition Année N</v>
      </c>
    </row>
    <row r="203" spans="2:16" x14ac:dyDescent="0.2">
      <c r="B203" s="111" t="s">
        <v>1699</v>
      </c>
      <c r="C203" s="112"/>
      <c r="D203" s="113" t="s">
        <v>761</v>
      </c>
      <c r="E203" s="130" t="str">
        <f>INDEX(Calculs,$E$2,377)</f>
        <v>Passif (bilan):TOTAL (IV) Année N</v>
      </c>
      <c r="F203" s="134" t="str">
        <f>INDEX(Calculs,$E$2,377)</f>
        <v>Passif (bilan):TOTAL (IV) Année N</v>
      </c>
      <c r="G203" s="134" t="str">
        <f>INDEX(Calculs,$E$2,378)</f>
        <v>Passif (bilan):TOTAL (IV) Année N-1</v>
      </c>
      <c r="I203" s="7" t="str">
        <f t="shared" si="11"/>
        <v>EC</v>
      </c>
      <c r="J203" s="7" t="str">
        <f t="shared" si="9"/>
        <v>EC</v>
      </c>
      <c r="K203" s="7" t="str">
        <f>D203&amp;"(N1)"</f>
        <v>EC(N1)</v>
      </c>
      <c r="L203" s="163" t="str">
        <f>IFERROR(VLOOKUP(D203,Transco!B:E,4,FALSE),"")</f>
        <v>=INDEX(Liste;$E$2;377)</v>
      </c>
      <c r="M203" s="7" t="str">
        <f>IFERROR(VLOOKUP(J203,Transco!B:E,4,FALSE),"")</f>
        <v>=INDEX(Liste;$E$2;377)</v>
      </c>
      <c r="N203" s="7" t="str">
        <f>IFERROR(VLOOKUP(K203,Transco!B:E,4,FALSE),"")</f>
        <v>=INDEX(Liste;$E$2;378)</v>
      </c>
      <c r="O203" s="85" t="s">
        <v>3046</v>
      </c>
      <c r="P203" s="81" t="str">
        <f>INDEX(Calculs,$E$2,174)</f>
        <v>Compte de résultat (suite):Dotation aux amortissements des écarts d'acquisition Année N-1</v>
      </c>
    </row>
    <row r="204" spans="2:16" x14ac:dyDescent="0.2">
      <c r="B204" s="38"/>
      <c r="C204" s="38"/>
      <c r="D204" s="103"/>
      <c r="E204" s="103"/>
      <c r="I204" s="7">
        <f t="shared" si="11"/>
        <v>0</v>
      </c>
      <c r="J204" s="7">
        <f t="shared" si="9"/>
        <v>0</v>
      </c>
      <c r="L204" s="163" t="str">
        <f>IFERROR(VLOOKUP(D204,Transco!B:E,4,FALSE),"")</f>
        <v/>
      </c>
      <c r="M204" s="7" t="str">
        <f>IFERROR(VLOOKUP(J204,Transco!B:E,4,FALSE),"")</f>
        <v/>
      </c>
      <c r="N204" s="7" t="str">
        <f>IFERROR(VLOOKUP(K204,Transco!B:E,4,FALSE),"")</f>
        <v/>
      </c>
      <c r="O204" s="85" t="s">
        <v>3047</v>
      </c>
      <c r="P204" s="81" t="str">
        <f>INDEX(Calculs,$E$2,175)</f>
        <v>Compte de résultat (suite):Dotations exceptionnelles aux amortissements et provisions Année N</v>
      </c>
    </row>
    <row r="205" spans="2:16" x14ac:dyDescent="0.2">
      <c r="B205" s="39" t="s">
        <v>1700</v>
      </c>
      <c r="C205" s="40"/>
      <c r="D205" s="41" t="s">
        <v>689</v>
      </c>
      <c r="E205" s="57" t="str">
        <f>INDEX(Calculs,$E$2,297)</f>
        <v>Passif (bilan): (V) Année N</v>
      </c>
      <c r="F205" s="71" t="str">
        <f>INDEX(Calculs,$E$2,297)</f>
        <v>Passif (bilan): (V) Année N</v>
      </c>
      <c r="G205" s="71" t="str">
        <f>INDEX(Calculs,$E$2,298)</f>
        <v>Passif (bilan): (V) Année N-1</v>
      </c>
      <c r="I205" s="7" t="str">
        <f t="shared" si="11"/>
        <v>ED</v>
      </c>
      <c r="J205" s="7" t="str">
        <f t="shared" si="9"/>
        <v>ED</v>
      </c>
      <c r="K205" s="7" t="str">
        <f>D205&amp;"(N1)"</f>
        <v>ED(N1)</v>
      </c>
      <c r="L205" s="163" t="str">
        <f>IFERROR(VLOOKUP(D205,Transco!B:E,4,FALSE),"")</f>
        <v>=INDEX(Liste;$E$2;297)</v>
      </c>
      <c r="M205" s="7" t="str">
        <f>IFERROR(VLOOKUP(J205,Transco!B:E,4,FALSE),"")</f>
        <v>=INDEX(Liste;$E$2;297)</v>
      </c>
      <c r="N205" s="7" t="str">
        <f>IFERROR(VLOOKUP(K205,Transco!B:E,4,FALSE),"")</f>
        <v>=INDEX(Liste;$E$2;298)</v>
      </c>
      <c r="O205" s="85" t="s">
        <v>3048</v>
      </c>
      <c r="P205" s="81" t="str">
        <f>INDEX(Calculs,$E$2,176)</f>
        <v>Compte de résultat (suite):Dotations exceptionnelles aux amortissements et provisions Année N-1</v>
      </c>
    </row>
    <row r="206" spans="2:16" x14ac:dyDescent="0.2">
      <c r="B206" s="38"/>
      <c r="C206" s="38"/>
      <c r="D206" s="103"/>
      <c r="E206" s="103"/>
      <c r="I206" s="7">
        <f t="shared" si="11"/>
        <v>0</v>
      </c>
      <c r="J206" s="7">
        <f t="shared" si="9"/>
        <v>0</v>
      </c>
      <c r="L206" s="163" t="str">
        <f>IFERROR(VLOOKUP(D206,Transco!B:E,4,FALSE),"")</f>
        <v/>
      </c>
      <c r="M206" s="7" t="str">
        <f>IFERROR(VLOOKUP(J206,Transco!B:E,4,FALSE),"")</f>
        <v/>
      </c>
      <c r="N206" s="7" t="str">
        <f>IFERROR(VLOOKUP(K206,Transco!B:E,4,FALSE),"")</f>
        <v/>
      </c>
      <c r="O206" s="85" t="s">
        <v>3049</v>
      </c>
      <c r="P206" s="81" t="str">
        <f>INDEX(Calculs,$E$2,177)</f>
        <v>Compte de résultat (suite):Impo��ts différés Année N</v>
      </c>
    </row>
    <row r="207" spans="2:16" ht="13.5" thickBot="1" x14ac:dyDescent="0.25">
      <c r="B207" s="111" t="s">
        <v>1701</v>
      </c>
      <c r="C207" s="112"/>
      <c r="D207" s="113" t="s">
        <v>763</v>
      </c>
      <c r="E207" s="130" t="str">
        <f>INDEX(Calculs,$E$2,379)</f>
        <v>Passif (bilan):TOTAL GENERAL (I à V) Année N</v>
      </c>
      <c r="F207" s="134" t="str">
        <f>INDEX(Calculs,$E$2,379)</f>
        <v>Passif (bilan):TOTAL GENERAL (I à V) Année N</v>
      </c>
      <c r="G207" s="134" t="str">
        <f>INDEX(Calculs,$E$2,380)</f>
        <v>Passif (bilan):TOTAL GENERAL (I à V) Année N-1</v>
      </c>
      <c r="I207" s="7" t="str">
        <f t="shared" si="11"/>
        <v>EE</v>
      </c>
      <c r="J207" s="7" t="str">
        <f t="shared" si="9"/>
        <v>EE</v>
      </c>
      <c r="K207" s="7" t="str">
        <f>D207&amp;"(N1)"</f>
        <v>EE(N1)</v>
      </c>
      <c r="L207" s="163" t="str">
        <f>IFERROR(VLOOKUP(D207,Transco!B:E,4,FALSE),"")</f>
        <v>=INDEX(Liste;$E$2;379)</v>
      </c>
      <c r="M207" s="7" t="str">
        <f>IFERROR(VLOOKUP(J207,Transco!B:E,4,FALSE),"")</f>
        <v>=INDEX(Liste;$E$2;379)</v>
      </c>
      <c r="N207" s="7" t="str">
        <f>IFERROR(VLOOKUP(K207,Transco!B:E,4,FALSE),"")</f>
        <v>=INDEX(Liste;$E$2;380)</v>
      </c>
      <c r="O207" s="85" t="s">
        <v>3050</v>
      </c>
      <c r="P207" s="7" t="str">
        <f>INDEX(Calculs,$E$2,178)</f>
        <v>Compte de résultat (suite):Impo��ts différés Année N-1</v>
      </c>
    </row>
    <row r="208" spans="2:16" x14ac:dyDescent="0.2">
      <c r="B208" s="59"/>
      <c r="C208" s="59"/>
      <c r="D208" s="59"/>
      <c r="E208" s="60"/>
      <c r="F208" s="72"/>
      <c r="G208" s="72" t="str">
        <f>INDEX(Calculs,$E$2,302)</f>
        <v>Passif (bilan):Autres Année N-1</v>
      </c>
      <c r="I208" s="7">
        <f t="shared" si="11"/>
        <v>0</v>
      </c>
      <c r="J208" s="7">
        <f t="shared" si="9"/>
        <v>0</v>
      </c>
      <c r="L208" s="163" t="str">
        <f>IFERROR(VLOOKUP(D208,Transco!B:E,4,FALSE),"")</f>
        <v/>
      </c>
      <c r="M208" s="7" t="str">
        <f>IFERROR(VLOOKUP(J208,Transco!B:E,4,FALSE),"")</f>
        <v/>
      </c>
      <c r="N208" s="7" t="str">
        <f>IFERROR(VLOOKUP(K208,Transco!B:E,4,FALSE),"")</f>
        <v/>
      </c>
      <c r="O208" s="85" t="s">
        <v>3051</v>
      </c>
      <c r="P208" s="7" t="str">
        <f>INDEX(Calculs,$E$2,179)</f>
        <v>Compte de résultat (suite):Impo��ts sur les bénéfices Année N</v>
      </c>
    </row>
    <row r="209" spans="2:16" x14ac:dyDescent="0.2">
      <c r="I209" s="7">
        <f t="shared" si="11"/>
        <v>0</v>
      </c>
      <c r="J209" s="7">
        <f t="shared" si="9"/>
        <v>0</v>
      </c>
      <c r="L209" s="163" t="str">
        <f>IFERROR(VLOOKUP(D209,Transco!B:E,4,FALSE),"")</f>
        <v/>
      </c>
      <c r="M209" s="7" t="str">
        <f>IFERROR(VLOOKUP(J209,Transco!B:E,4,FALSE),"")</f>
        <v/>
      </c>
      <c r="N209" s="7" t="str">
        <f>IFERROR(VLOOKUP(K209,Transco!B:E,4,FALSE),"")</f>
        <v/>
      </c>
      <c r="O209" s="85" t="s">
        <v>3052</v>
      </c>
      <c r="P209" s="7" t="str">
        <f>INDEX(Calculs,$E$2,180)</f>
        <v>Compte de résultat (suite):Impo��ts sur les bénéfices Année N-1</v>
      </c>
    </row>
    <row r="210" spans="2:16" x14ac:dyDescent="0.2">
      <c r="B210" s="105" t="s">
        <v>1702</v>
      </c>
      <c r="C210" s="38"/>
      <c r="D210" s="103"/>
      <c r="E210" s="103"/>
      <c r="I210" s="7">
        <f t="shared" si="11"/>
        <v>0</v>
      </c>
      <c r="J210" s="7">
        <f t="shared" si="9"/>
        <v>0</v>
      </c>
      <c r="L210" s="163" t="str">
        <f>IFERROR(VLOOKUP(D210,Transco!B:E,4,FALSE),"")</f>
        <v/>
      </c>
      <c r="M210" s="7" t="str">
        <f>IFERROR(VLOOKUP(J210,Transco!B:E,4,FALSE),"")</f>
        <v/>
      </c>
      <c r="N210" s="7" t="str">
        <f>IFERROR(VLOOKUP(K210,Transco!B:E,4,FALSE),"")</f>
        <v/>
      </c>
      <c r="O210" s="85" t="s">
        <v>3053</v>
      </c>
      <c r="P210" s="7" t="str">
        <f>INDEX(Calculs,$E$2,181)</f>
        <v>Compte de résultat (suite):Part des intéré�ts minoritaires (Résultat hors groupe) Année N</v>
      </c>
    </row>
    <row r="211" spans="2:16" x14ac:dyDescent="0.2">
      <c r="B211" s="38"/>
      <c r="C211" s="38"/>
      <c r="D211" s="103"/>
      <c r="E211" s="103"/>
      <c r="I211" s="7">
        <f t="shared" si="11"/>
        <v>0</v>
      </c>
      <c r="J211" s="7">
        <f t="shared" si="9"/>
        <v>0</v>
      </c>
      <c r="L211" s="163" t="str">
        <f>IFERROR(VLOOKUP(D211,Transco!B:E,4,FALSE),"")</f>
        <v/>
      </c>
      <c r="M211" s="7" t="str">
        <f>IFERROR(VLOOKUP(J211,Transco!B:E,4,FALSE),"")</f>
        <v/>
      </c>
      <c r="N211" s="7" t="str">
        <f>IFERROR(VLOOKUP(K211,Transco!B:E,4,FALSE),"")</f>
        <v/>
      </c>
      <c r="O211" s="85" t="s">
        <v>3054</v>
      </c>
      <c r="P211" s="7" t="str">
        <f>INDEX(Calculs,$E$2,182)</f>
        <v>Compte de résultat (suite):Part des intéré�ts minoritaires (Résultat hors groupe) Année N-1</v>
      </c>
    </row>
    <row r="212" spans="2:16" x14ac:dyDescent="0.2">
      <c r="B212" s="39" t="s">
        <v>1703</v>
      </c>
      <c r="C212" s="40"/>
      <c r="D212" s="41" t="s">
        <v>1704</v>
      </c>
      <c r="E212" s="57"/>
      <c r="F212" s="57"/>
      <c r="G212" s="57"/>
      <c r="I212" s="7" t="str">
        <f t="shared" si="11"/>
        <v>1B</v>
      </c>
      <c r="J212" s="7" t="str">
        <f t="shared" si="9"/>
        <v>1B</v>
      </c>
      <c r="K212" s="7" t="str">
        <f t="shared" ref="K212:K220" si="13">D212&amp;"(N1)"</f>
        <v>1B(N1)</v>
      </c>
      <c r="L212" s="163" t="str">
        <f>IFERROR(VLOOKUP(D212,Transco!B:E,4,FALSE),"")</f>
        <v/>
      </c>
      <c r="M212" s="7" t="str">
        <f>IFERROR(VLOOKUP(J212,Transco!B:E,4,FALSE),"")</f>
        <v/>
      </c>
      <c r="N212" s="7" t="str">
        <f>IFERROR(VLOOKUP(K212,Transco!B:E,4,FALSE),"")</f>
        <v/>
      </c>
      <c r="O212" s="85" t="s">
        <v>3055</v>
      </c>
      <c r="P212" s="7" t="str">
        <f>INDEX(Calculs,$E$2,183)</f>
        <v>Compte de résultat (suite):Participation des salariés aux résultats de l� entreprise Année N</v>
      </c>
    </row>
    <row r="213" spans="2:16" x14ac:dyDescent="0.2">
      <c r="B213" s="39" t="s">
        <v>1705</v>
      </c>
      <c r="C213" s="40"/>
      <c r="D213" s="41" t="s">
        <v>1706</v>
      </c>
      <c r="E213" s="57"/>
      <c r="F213" s="57"/>
      <c r="G213" s="57"/>
      <c r="I213" s="7" t="str">
        <f t="shared" si="11"/>
        <v>1C</v>
      </c>
      <c r="J213" s="7" t="str">
        <f t="shared" si="9"/>
        <v>1C</v>
      </c>
      <c r="K213" s="7" t="str">
        <f t="shared" si="13"/>
        <v>1C(N1)</v>
      </c>
      <c r="L213" s="163" t="str">
        <f>IFERROR(VLOOKUP(D213,Transco!B:E,4,FALSE),"")</f>
        <v/>
      </c>
      <c r="M213" s="7" t="str">
        <f>IFERROR(VLOOKUP(J213,Transco!B:E,4,FALSE),"")</f>
        <v/>
      </c>
      <c r="N213" s="7" t="str">
        <f>IFERROR(VLOOKUP(K213,Transco!B:E,4,FALSE),"")</f>
        <v/>
      </c>
      <c r="O213" s="82" t="s">
        <v>3056</v>
      </c>
    </row>
    <row r="214" spans="2:16" x14ac:dyDescent="0.2">
      <c r="B214" s="39" t="s">
        <v>1707</v>
      </c>
      <c r="C214" s="40"/>
      <c r="D214" s="41" t="s">
        <v>1708</v>
      </c>
      <c r="E214" s="57"/>
      <c r="F214" s="57"/>
      <c r="G214" s="57"/>
      <c r="I214" s="7" t="str">
        <f t="shared" si="11"/>
        <v>1D</v>
      </c>
      <c r="J214" s="7" t="str">
        <f t="shared" si="9"/>
        <v>1D</v>
      </c>
      <c r="K214" s="7" t="str">
        <f t="shared" si="13"/>
        <v>1D(N1)</v>
      </c>
      <c r="L214" s="163" t="str">
        <f>IFERROR(VLOOKUP(D214,Transco!B:E,4,FALSE),"")</f>
        <v/>
      </c>
      <c r="M214" s="7" t="str">
        <f>IFERROR(VLOOKUP(J214,Transco!B:E,4,FALSE),"")</f>
        <v/>
      </c>
      <c r="N214" s="7" t="str">
        <f>IFERROR(VLOOKUP(K214,Transco!B:E,4,FALSE),"")</f>
        <v/>
      </c>
      <c r="O214" s="82" t="s">
        <v>3057</v>
      </c>
    </row>
    <row r="215" spans="2:16" x14ac:dyDescent="0.2">
      <c r="B215" s="39" t="s">
        <v>1709</v>
      </c>
      <c r="C215" s="40"/>
      <c r="D215" s="41" t="s">
        <v>1710</v>
      </c>
      <c r="E215" s="57"/>
      <c r="F215" s="57"/>
      <c r="G215" s="57"/>
      <c r="I215" s="7" t="str">
        <f t="shared" si="11"/>
        <v>1E</v>
      </c>
      <c r="J215" s="7" t="str">
        <f t="shared" si="9"/>
        <v>1E</v>
      </c>
      <c r="K215" s="7" t="str">
        <f t="shared" si="13"/>
        <v>1E(N1)</v>
      </c>
      <c r="L215" s="163" t="str">
        <f>IFERROR(VLOOKUP(D215,Transco!B:E,4,FALSE),"")</f>
        <v/>
      </c>
      <c r="M215" s="7" t="str">
        <f>IFERROR(VLOOKUP(J215,Transco!B:E,4,FALSE),"")</f>
        <v/>
      </c>
      <c r="N215" s="7" t="str">
        <f>IFERROR(VLOOKUP(K215,Transco!B:E,4,FALSE),"")</f>
        <v/>
      </c>
      <c r="O215" s="82" t="s">
        <v>3058</v>
      </c>
    </row>
    <row r="216" spans="2:16" x14ac:dyDescent="0.2">
      <c r="B216" s="39" t="s">
        <v>1711</v>
      </c>
      <c r="C216" s="40"/>
      <c r="D216" s="41" t="s">
        <v>723</v>
      </c>
      <c r="E216" s="57" t="str">
        <f>INDEX(Calculs,$E$2,331)</f>
        <v>Passif (bilan):Dont réserve réglementée des plus-values à long terme Année N</v>
      </c>
      <c r="F216" s="57" t="str">
        <f>INDEX(Calculs,$E$2,331)</f>
        <v>Passif (bilan):Dont réserve réglementée des plus-values à long terme Année N</v>
      </c>
      <c r="G216" s="57" t="str">
        <f>INDEX(Calculs,$E$2,332)</f>
        <v>Passif (bilan):Dont réserve réglementée des plus-values à long terme Année N-1</v>
      </c>
      <c r="I216" s="7" t="str">
        <f t="shared" si="11"/>
        <v>EF</v>
      </c>
      <c r="J216" s="7" t="str">
        <f t="shared" si="9"/>
        <v>EF</v>
      </c>
      <c r="K216" s="7" t="str">
        <f t="shared" si="13"/>
        <v>EF(N1)</v>
      </c>
      <c r="L216" s="163" t="str">
        <f>IFERROR(VLOOKUP(D216,Transco!B:E,4,FALSE),"")</f>
        <v>=INDEX(Liste;$E$2;331)</v>
      </c>
      <c r="M216" s="7" t="str">
        <f>IFERROR(VLOOKUP(J216,Transco!B:E,4,FALSE),"")</f>
        <v>=INDEX(Liste;$E$2;331)</v>
      </c>
      <c r="N216" s="7" t="str">
        <f>IFERROR(VLOOKUP(K216,Transco!B:E,4,FALSE),"")</f>
        <v>=INDEX(Liste;$E$2;332)</v>
      </c>
      <c r="O216" s="82" t="s">
        <v>3059</v>
      </c>
    </row>
    <row r="217" spans="2:16" x14ac:dyDescent="0.2">
      <c r="B217" s="39" t="s">
        <v>1712</v>
      </c>
      <c r="C217" s="40"/>
      <c r="D217" s="41" t="s">
        <v>1713</v>
      </c>
      <c r="E217" s="57"/>
      <c r="F217" s="57"/>
      <c r="G217" s="57"/>
      <c r="I217" s="7" t="str">
        <f t="shared" si="11"/>
        <v>EJ</v>
      </c>
      <c r="J217" s="7" t="str">
        <f t="shared" ref="J217:J280" si="14">D217</f>
        <v>EJ</v>
      </c>
      <c r="K217" s="7" t="str">
        <f t="shared" si="13"/>
        <v>EJ(N1)</v>
      </c>
      <c r="L217" s="163" t="str">
        <f>IFERROR(VLOOKUP(D217,Transco!B:E,4,FALSE),"")</f>
        <v/>
      </c>
      <c r="M217" s="7" t="str">
        <f>IFERROR(VLOOKUP(J217,Transco!B:E,4,FALSE),"")</f>
        <v/>
      </c>
      <c r="N217" s="7" t="str">
        <f>IFERROR(VLOOKUP(K217,Transco!B:E,4,FALSE),"")</f>
        <v/>
      </c>
      <c r="O217" s="82" t="s">
        <v>3060</v>
      </c>
    </row>
    <row r="218" spans="2:16" x14ac:dyDescent="0.2">
      <c r="B218" s="39" t="s">
        <v>1714</v>
      </c>
      <c r="C218" s="40"/>
      <c r="D218" s="41" t="s">
        <v>711</v>
      </c>
      <c r="E218" s="57" t="str">
        <f>INDEX(Calculs,$E$2,319)</f>
        <v>Passif (bilan):Dettes et produits constatés d'avance à moins d'un an Année N</v>
      </c>
      <c r="F218" s="57" t="str">
        <f>INDEX(Calculs,$E$2,319)</f>
        <v>Passif (bilan):Dettes et produits constatés d'avance à moins d'un an Année N</v>
      </c>
      <c r="G218" s="57" t="str">
        <f>INDEX(Calculs,$E$2,320)</f>
        <v>Passif (bilan):Dettes et produits constatés d'avance à moins d'un an Année N-1</v>
      </c>
      <c r="I218" s="7" t="str">
        <f t="shared" si="11"/>
        <v>EG</v>
      </c>
      <c r="J218" s="7" t="str">
        <f t="shared" si="14"/>
        <v>EG</v>
      </c>
      <c r="K218" s="7" t="str">
        <f t="shared" si="13"/>
        <v>EG(N1)</v>
      </c>
      <c r="L218" s="163" t="str">
        <f>IFERROR(VLOOKUP(D218,Transco!B:E,4,FALSE),"")</f>
        <v>=INDEX(Liste;$E$2;319)</v>
      </c>
      <c r="M218" s="7" t="str">
        <f>IFERROR(VLOOKUP(J218,Transco!B:E,4,FALSE),"")</f>
        <v>=INDEX(Liste;$E$2;319)</v>
      </c>
      <c r="N218" s="7" t="str">
        <f>IFERROR(VLOOKUP(K218,Transco!B:E,4,FALSE),"")</f>
        <v>=INDEX(Liste;$E$2;320)</v>
      </c>
      <c r="O218" s="82" t="s">
        <v>3061</v>
      </c>
    </row>
    <row r="219" spans="2:16" x14ac:dyDescent="0.2">
      <c r="B219" s="39" t="s">
        <v>1715</v>
      </c>
      <c r="C219" s="40"/>
      <c r="D219" s="41" t="s">
        <v>719</v>
      </c>
      <c r="E219" s="57" t="str">
        <f>INDEX(Calculs,$E$2,327)</f>
        <v>Passif (bilan):Dont concours bancaires courants, et soldes créditeurs de banques et C.C.P. Année N</v>
      </c>
      <c r="F219" s="57" t="str">
        <f>INDEX(Calculs,$E$2,327)</f>
        <v>Passif (bilan):Dont concours bancaires courants, et soldes créditeurs de banques et C.C.P. Année N</v>
      </c>
      <c r="G219" s="57" t="str">
        <f>INDEX(Calculs,$E$2,328)</f>
        <v>Passif (bilan):Dont concours bancaires courants, et soldes créditeurs de banques et C.C.P. Année N-1</v>
      </c>
      <c r="I219" s="7" t="str">
        <f t="shared" si="11"/>
        <v>EH</v>
      </c>
      <c r="J219" s="7" t="str">
        <f t="shared" si="14"/>
        <v>EH</v>
      </c>
      <c r="K219" s="7" t="str">
        <f t="shared" si="13"/>
        <v>EH(N1)</v>
      </c>
      <c r="L219" s="163" t="str">
        <f>IFERROR(VLOOKUP(D219,Transco!B:E,4,FALSE),"")</f>
        <v>=INDEX(Liste;$E$2;327)</v>
      </c>
      <c r="M219" s="7" t="str">
        <f>IFERROR(VLOOKUP(J219,Transco!B:E,4,FALSE),"")</f>
        <v>=INDEX(Liste;$E$2;327)</v>
      </c>
      <c r="N219" s="7" t="str">
        <f>IFERROR(VLOOKUP(K219,Transco!B:E,4,FALSE),"")</f>
        <v>=INDEX(Liste;$E$2;328)</v>
      </c>
      <c r="O219" s="82" t="s">
        <v>3062</v>
      </c>
    </row>
    <row r="220" spans="2:16" x14ac:dyDescent="0.2">
      <c r="B220" s="39" t="s">
        <v>1716</v>
      </c>
      <c r="C220" s="40"/>
      <c r="D220" s="41" t="s">
        <v>721</v>
      </c>
      <c r="E220" s="57" t="str">
        <f>INDEX(Calculs,$E$2,329)</f>
        <v>Passif (bilan):Dont emprunts participatifs Année N</v>
      </c>
      <c r="F220" s="57" t="str">
        <f>INDEX(Calculs,$E$2,329)</f>
        <v>Passif (bilan):Dont emprunts participatifs Année N</v>
      </c>
      <c r="G220" s="57" t="str">
        <f>INDEX(Calculs,$E$2,330)</f>
        <v>Passif (bilan):Dont emprunts participatifs Année N-1</v>
      </c>
      <c r="I220" s="7" t="str">
        <f t="shared" si="11"/>
        <v>EI</v>
      </c>
      <c r="J220" s="7" t="str">
        <f t="shared" si="14"/>
        <v>EI</v>
      </c>
      <c r="K220" s="7" t="str">
        <f t="shared" si="13"/>
        <v>EI(N1)</v>
      </c>
      <c r="L220" s="163" t="str">
        <f>IFERROR(VLOOKUP(D220,Transco!B:E,4,FALSE),"")</f>
        <v>=INDEX(Liste;$E$2;329)</v>
      </c>
      <c r="M220" s="7" t="str">
        <f>IFERROR(VLOOKUP(J220,Transco!B:E,4,FALSE),"")</f>
        <v>=INDEX(Liste;$E$2;329)</v>
      </c>
      <c r="N220" s="7" t="str">
        <f>IFERROR(VLOOKUP(K220,Transco!B:E,4,FALSE),"")</f>
        <v>=INDEX(Liste;$E$2;330)</v>
      </c>
      <c r="O220" s="82" t="s">
        <v>3063</v>
      </c>
    </row>
    <row r="221" spans="2:16" x14ac:dyDescent="0.2">
      <c r="I221" s="7">
        <f t="shared" si="11"/>
        <v>0</v>
      </c>
      <c r="J221" s="7">
        <f t="shared" si="14"/>
        <v>0</v>
      </c>
      <c r="L221" s="163" t="str">
        <f>IFERROR(VLOOKUP(D221,Transco!B:E,4,FALSE),"")</f>
        <v/>
      </c>
      <c r="M221" s="7" t="str">
        <f>IFERROR(VLOOKUP(J221,Transco!B:E,4,FALSE),"")</f>
        <v/>
      </c>
      <c r="N221" s="7" t="str">
        <f>IFERROR(VLOOKUP(K221,Transco!B:E,4,FALSE),"")</f>
        <v/>
      </c>
      <c r="O221" s="82" t="s">
        <v>3064</v>
      </c>
    </row>
    <row r="222" spans="2:16" x14ac:dyDescent="0.2">
      <c r="I222" s="7">
        <f t="shared" si="11"/>
        <v>0</v>
      </c>
      <c r="J222" s="7">
        <f t="shared" si="14"/>
        <v>0</v>
      </c>
      <c r="L222" s="163" t="str">
        <f>IFERROR(VLOOKUP(D222,Transco!B:E,4,FALSE),"")</f>
        <v/>
      </c>
      <c r="M222" s="7" t="str">
        <f>IFERROR(VLOOKUP(J222,Transco!B:E,4,FALSE),"")</f>
        <v/>
      </c>
      <c r="N222" s="7" t="str">
        <f>IFERROR(VLOOKUP(K222,Transco!B:E,4,FALSE),"")</f>
        <v/>
      </c>
      <c r="O222" s="82" t="s">
        <v>3065</v>
      </c>
    </row>
    <row r="223" spans="2:16" x14ac:dyDescent="0.2">
      <c r="I223" s="7">
        <f t="shared" si="11"/>
        <v>0</v>
      </c>
      <c r="J223" s="7">
        <f t="shared" si="14"/>
        <v>0</v>
      </c>
      <c r="L223" s="163" t="str">
        <f>IFERROR(VLOOKUP(D223,Transco!B:E,4,FALSE),"")</f>
        <v/>
      </c>
      <c r="M223" s="7" t="str">
        <f>IFERROR(VLOOKUP(J223,Transco!B:E,4,FALSE),"")</f>
        <v/>
      </c>
      <c r="N223" s="7" t="str">
        <f>IFERROR(VLOOKUP(K223,Transco!B:E,4,FALSE),"")</f>
        <v/>
      </c>
      <c r="O223" s="82" t="s">
        <v>3066</v>
      </c>
    </row>
    <row r="224" spans="2:16" ht="13.5" thickBot="1" x14ac:dyDescent="0.25">
      <c r="I224" s="7">
        <f t="shared" si="11"/>
        <v>0</v>
      </c>
      <c r="J224" s="7">
        <f t="shared" si="14"/>
        <v>0</v>
      </c>
      <c r="L224" s="163" t="str">
        <f>IFERROR(VLOOKUP(D224,Transco!B:E,4,FALSE),"")</f>
        <v/>
      </c>
      <c r="M224" s="7" t="str">
        <f>IFERROR(VLOOKUP(J224,Transco!B:E,4,FALSE),"")</f>
        <v/>
      </c>
      <c r="N224" s="7" t="str">
        <f>IFERROR(VLOOKUP(K224,Transco!B:E,4,FALSE),"")</f>
        <v/>
      </c>
      <c r="O224" s="82" t="s">
        <v>3067</v>
      </c>
    </row>
    <row r="225" spans="2:16" ht="16.5" thickBot="1" x14ac:dyDescent="0.3">
      <c r="B225" s="135" t="s">
        <v>1717</v>
      </c>
      <c r="C225" s="45"/>
      <c r="D225" s="45"/>
      <c r="E225" s="58"/>
      <c r="F225" s="73"/>
      <c r="G225" s="73"/>
      <c r="I225" s="7">
        <f t="shared" si="11"/>
        <v>0</v>
      </c>
      <c r="J225" s="7">
        <f t="shared" si="14"/>
        <v>0</v>
      </c>
      <c r="L225" s="163" t="str">
        <f>IFERROR(VLOOKUP(D225,Transco!B:E,4,FALSE),"")</f>
        <v/>
      </c>
      <c r="M225" s="7" t="str">
        <f>IFERROR(VLOOKUP(J225,Transco!B:E,4,FALSE),"")</f>
        <v/>
      </c>
      <c r="N225" s="7" t="str">
        <f>IFERROR(VLOOKUP(K225,Transco!B:E,4,FALSE),"")</f>
        <v/>
      </c>
      <c r="O225" s="82" t="s">
        <v>3068</v>
      </c>
    </row>
    <row r="226" spans="2:16" x14ac:dyDescent="0.2">
      <c r="B226" s="37"/>
      <c r="C226" s="37"/>
      <c r="D226" s="136"/>
      <c r="E226" s="136"/>
      <c r="F226" s="137"/>
      <c r="G226" s="137"/>
      <c r="I226" s="7">
        <f t="shared" si="11"/>
        <v>0</v>
      </c>
      <c r="J226" s="7">
        <f t="shared" si="14"/>
        <v>0</v>
      </c>
      <c r="L226" s="163" t="str">
        <f>IFERROR(VLOOKUP(D226,Transco!B:E,4,FALSE),"")</f>
        <v/>
      </c>
      <c r="M226" s="7" t="str">
        <f>IFERROR(VLOOKUP(J226,Transco!B:E,4,FALSE),"")</f>
        <v/>
      </c>
      <c r="N226" s="7" t="str">
        <f>IFERROR(VLOOKUP(K226,Transco!B:E,4,FALSE),"")</f>
        <v/>
      </c>
      <c r="O226" s="82" t="s">
        <v>3069</v>
      </c>
    </row>
    <row r="227" spans="2:16" x14ac:dyDescent="0.2">
      <c r="B227" s="150" t="str">
        <f>B3</f>
        <v>Liste des agrégats disponibles</v>
      </c>
      <c r="C227" s="98"/>
      <c r="D227" s="99" t="s">
        <v>1594</v>
      </c>
      <c r="E227" s="159"/>
      <c r="F227" s="160"/>
      <c r="G227" s="56"/>
      <c r="I227" s="7" t="str">
        <f t="shared" si="11"/>
        <v>Date de cloture</v>
      </c>
      <c r="J227" s="7" t="str">
        <f t="shared" si="14"/>
        <v>Date de cloture</v>
      </c>
      <c r="K227" s="7" t="str">
        <f>D227&amp;"(N1)"</f>
        <v>Date de cloture(N1)</v>
      </c>
      <c r="L227" s="163" t="str">
        <f>IFERROR(VLOOKUP(D227,Transco!B:E,4,FALSE),"")</f>
        <v/>
      </c>
      <c r="M227" s="7" t="str">
        <f>IFERROR(VLOOKUP(J227,Transco!B:E,4,FALSE),"")</f>
        <v/>
      </c>
      <c r="N227" s="7" t="str">
        <f>IFERROR(VLOOKUP(K227,Transco!B:E,4,FALSE),"")</f>
        <v/>
      </c>
      <c r="O227" s="82" t="s">
        <v>3070</v>
      </c>
    </row>
    <row r="228" spans="2:16" ht="13.5" thickBot="1" x14ac:dyDescent="0.25">
      <c r="B228" s="151">
        <f>C5</f>
        <v>0</v>
      </c>
      <c r="C228" s="100"/>
      <c r="D228" s="99" t="s">
        <v>1595</v>
      </c>
      <c r="E228" s="161"/>
      <c r="F228" s="162"/>
      <c r="G228" s="69"/>
      <c r="I228" s="7" t="str">
        <f t="shared" si="11"/>
        <v>Durée d'exercice</v>
      </c>
      <c r="J228" s="7" t="str">
        <f t="shared" si="14"/>
        <v>Durée d'exercice</v>
      </c>
      <c r="K228" s="7" t="str">
        <f>D228&amp;"(N1)"</f>
        <v>Durée d'exercice(N1)</v>
      </c>
      <c r="L228" s="163" t="str">
        <f>IFERROR(VLOOKUP(D228,Transco!B:E,4,FALSE),"")</f>
        <v/>
      </c>
      <c r="M228" s="7" t="str">
        <f>IFERROR(VLOOKUP(J228,Transco!B:E,4,FALSE),"")</f>
        <v/>
      </c>
      <c r="N228" s="7" t="str">
        <f>IFERROR(VLOOKUP(K228,Transco!B:E,4,FALSE),"")</f>
        <v/>
      </c>
      <c r="O228" s="82" t="s">
        <v>3071</v>
      </c>
    </row>
    <row r="229" spans="2:16" x14ac:dyDescent="0.2">
      <c r="B229" s="37"/>
      <c r="C229" s="37"/>
      <c r="D229" s="136"/>
      <c r="E229" s="136"/>
      <c r="F229" s="137"/>
      <c r="G229" s="137"/>
      <c r="I229" s="7">
        <f t="shared" si="11"/>
        <v>0</v>
      </c>
      <c r="J229" s="7">
        <f t="shared" si="14"/>
        <v>0</v>
      </c>
      <c r="L229" s="163" t="str">
        <f>IFERROR(VLOOKUP(D229,Transco!B:E,4,FALSE),"")</f>
        <v/>
      </c>
      <c r="M229" s="7" t="str">
        <f>IFERROR(VLOOKUP(J229,Transco!B:E,4,FALSE),"")</f>
        <v/>
      </c>
      <c r="N229" s="7" t="str">
        <f>IFERROR(VLOOKUP(K229,Transco!B:E,4,FALSE),"")</f>
        <v/>
      </c>
      <c r="O229" s="82" t="s">
        <v>3072</v>
      </c>
    </row>
    <row r="230" spans="2:16" x14ac:dyDescent="0.2">
      <c r="B230" s="38" t="s">
        <v>1597</v>
      </c>
      <c r="C230" s="38"/>
      <c r="D230" s="103"/>
      <c r="E230" s="103"/>
      <c r="I230" s="7">
        <f t="shared" si="11"/>
        <v>0</v>
      </c>
      <c r="J230" s="7">
        <f t="shared" si="14"/>
        <v>0</v>
      </c>
      <c r="L230" s="163" t="str">
        <f>IFERROR(VLOOKUP(D230,Transco!B:E,4,FALSE),"")</f>
        <v/>
      </c>
      <c r="M230" s="7" t="str">
        <f>IFERROR(VLOOKUP(J230,Transco!B:E,4,FALSE),"")</f>
        <v/>
      </c>
      <c r="N230" s="7" t="str">
        <f>IFERROR(VLOOKUP(K230,Transco!B:E,4,FALSE),"")</f>
        <v/>
      </c>
      <c r="O230" s="82" t="s">
        <v>3073</v>
      </c>
    </row>
    <row r="231" spans="2:16" x14ac:dyDescent="0.2">
      <c r="B231" s="138" t="s">
        <v>1718</v>
      </c>
      <c r="C231" s="139"/>
      <c r="D231" s="140" t="s">
        <v>687</v>
      </c>
      <c r="E231" s="57" t="str">
        <f>INDEX(Calculs,$E$2,295)</f>
        <v>Compte de résultat:Ventes de marchandises Total année N</v>
      </c>
      <c r="F231" s="57" t="str">
        <f>INDEX(Calculs,$E$2,295)</f>
        <v>Compte de résultat:Ventes de marchandises Total année N</v>
      </c>
      <c r="G231" s="57" t="str">
        <f>INDEX(Calculs,$E$2,296)</f>
        <v>Compte de résultat:Ventes de marchandises Total année N-1</v>
      </c>
      <c r="I231" s="7" t="str">
        <f t="shared" si="11"/>
        <v>FC</v>
      </c>
      <c r="J231" s="7" t="str">
        <f t="shared" si="14"/>
        <v>FC</v>
      </c>
      <c r="K231" s="7" t="str">
        <f t="shared" ref="K231:K242" si="15">D231&amp;"(N1)"</f>
        <v>FC(N1)</v>
      </c>
      <c r="L231" s="163" t="str">
        <f>IFERROR(VLOOKUP(D231,Transco!B:E,4,FALSE),"")</f>
        <v>=INDEX(Liste;$E$2;295)</v>
      </c>
      <c r="M231" s="7" t="str">
        <f>IFERROR(VLOOKUP(J231,Transco!B:E,4,FALSE),"")</f>
        <v>=INDEX(Liste;$E$2;295)</v>
      </c>
      <c r="N231" s="7" t="str">
        <f>IFERROR(VLOOKUP(K231,Transco!B:E,4,FALSE),"")</f>
        <v>=INDEX(Liste;$E$2;296)</v>
      </c>
      <c r="O231" s="82" t="s">
        <v>3074</v>
      </c>
    </row>
    <row r="232" spans="2:16" x14ac:dyDescent="0.2">
      <c r="B232" s="39" t="s">
        <v>1719</v>
      </c>
      <c r="C232" s="40"/>
      <c r="D232" s="41" t="s">
        <v>686</v>
      </c>
      <c r="E232" s="57" t="str">
        <f>INDEX(Calculs,$E$2,294)</f>
        <v>Compte de résultat:Ventes de marchandises France Année N</v>
      </c>
      <c r="F232" s="57" t="str">
        <f>INDEX(Calculs,$E$2,294)</f>
        <v>Compte de résultat:Ventes de marchandises France Année N</v>
      </c>
      <c r="G232" s="57"/>
      <c r="I232" s="7" t="str">
        <f t="shared" si="11"/>
        <v>FA</v>
      </c>
      <c r="J232" s="7" t="str">
        <f t="shared" si="14"/>
        <v>FA</v>
      </c>
      <c r="K232" s="7" t="str">
        <f t="shared" si="15"/>
        <v>FA(N1)</v>
      </c>
      <c r="L232" s="163" t="str">
        <f>IFERROR(VLOOKUP(D232,Transco!B:E,4,FALSE),"")</f>
        <v>=INDEX(Liste;$E$2;294)</v>
      </c>
      <c r="M232" s="7" t="str">
        <f>IFERROR(VLOOKUP(J232,Transco!B:E,4,FALSE),"")</f>
        <v>=INDEX(Liste;$E$2;294)</v>
      </c>
      <c r="N232" s="7" t="str">
        <f>IFERROR(VLOOKUP(K232,Transco!B:E,4,FALSE),"")</f>
        <v/>
      </c>
      <c r="O232" s="82" t="s">
        <v>3075</v>
      </c>
    </row>
    <row r="233" spans="2:16" x14ac:dyDescent="0.2">
      <c r="B233" s="39" t="s">
        <v>1720</v>
      </c>
      <c r="C233" s="40"/>
      <c r="D233" s="41" t="s">
        <v>685</v>
      </c>
      <c r="E233" s="57" t="str">
        <f>INDEX(Calculs,$E$2,293)</f>
        <v>Compte de résultat:Ventes de marchandises Export année N</v>
      </c>
      <c r="F233" s="57" t="str">
        <f>INDEX(Calculs,$E$2,293)</f>
        <v>Compte de résultat:Ventes de marchandises Export année N</v>
      </c>
      <c r="G233" s="57"/>
      <c r="I233" s="7" t="str">
        <f t="shared" si="11"/>
        <v>FB</v>
      </c>
      <c r="J233" s="7" t="str">
        <f t="shared" si="14"/>
        <v>FB</v>
      </c>
      <c r="K233" s="7" t="str">
        <f t="shared" si="15"/>
        <v>FB(N1)</v>
      </c>
      <c r="L233" s="163" t="str">
        <f>IFERROR(VLOOKUP(D233,Transco!B:E,4,FALSE),"")</f>
        <v>=INDEX(Liste;$E$2;293)</v>
      </c>
      <c r="M233" s="7" t="str">
        <f>IFERROR(VLOOKUP(J233,Transco!B:E,4,FALSE),"")</f>
        <v>=INDEX(Liste;$E$2;293)</v>
      </c>
      <c r="N233" s="7" t="str">
        <f>IFERROR(VLOOKUP(K233,Transco!B:E,4,FALSE),"")</f>
        <v/>
      </c>
      <c r="O233" s="82" t="s">
        <v>3076</v>
      </c>
    </row>
    <row r="234" spans="2:16" x14ac:dyDescent="0.2">
      <c r="B234" s="138" t="s">
        <v>1721</v>
      </c>
      <c r="C234" s="139"/>
      <c r="D234" s="140" t="s">
        <v>679</v>
      </c>
      <c r="E234" s="57" t="str">
        <f>INDEX(Calculs,$E$2,287)</f>
        <v>Compte de résultat:Production vendue biens Total année N</v>
      </c>
      <c r="F234" s="57" t="str">
        <f>INDEX(Calculs,$E$2,287)</f>
        <v>Compte de résultat:Production vendue biens Total année N</v>
      </c>
      <c r="G234" s="57" t="str">
        <f>INDEX(Calculs,$E$2,288)</f>
        <v>Compte de résultat:Production vendue biens Total année N-1</v>
      </c>
      <c r="I234" s="7" t="str">
        <f t="shared" si="11"/>
        <v>FF</v>
      </c>
      <c r="J234" s="7" t="str">
        <f t="shared" si="14"/>
        <v>FF</v>
      </c>
      <c r="K234" s="7" t="str">
        <f t="shared" si="15"/>
        <v>FF(N1)</v>
      </c>
      <c r="L234" s="163" t="str">
        <f>IFERROR(VLOOKUP(D234,Transco!B:E,4,FALSE),"")</f>
        <v>=INDEX(Liste;$E$2;287)</v>
      </c>
      <c r="M234" s="7" t="str">
        <f>IFERROR(VLOOKUP(J234,Transco!B:E,4,FALSE),"")</f>
        <v>=INDEX(Liste;$E$2;287)</v>
      </c>
      <c r="N234" s="7" t="str">
        <f>IFERROR(VLOOKUP(K234,Transco!B:E,4,FALSE),"")</f>
        <v>=INDEX(Liste;$E$2;288)</v>
      </c>
      <c r="O234" s="82" t="s">
        <v>3077</v>
      </c>
    </row>
    <row r="235" spans="2:16" x14ac:dyDescent="0.2">
      <c r="B235" s="39" t="s">
        <v>1719</v>
      </c>
      <c r="C235" s="40"/>
      <c r="D235" s="41" t="s">
        <v>678</v>
      </c>
      <c r="E235" s="57" t="str">
        <f>INDEX(Calculs,$E$2,286)</f>
        <v>Compte de résultat:Production vendue biens France Année N</v>
      </c>
      <c r="F235" s="57" t="str">
        <f>INDEX(Calculs,$E$2,286)</f>
        <v>Compte de résultat:Production vendue biens France Année N</v>
      </c>
      <c r="G235" s="57"/>
      <c r="I235" s="7" t="str">
        <f t="shared" si="11"/>
        <v>FD</v>
      </c>
      <c r="J235" s="7" t="str">
        <f t="shared" si="14"/>
        <v>FD</v>
      </c>
      <c r="K235" s="7" t="str">
        <f t="shared" si="15"/>
        <v>FD(N1)</v>
      </c>
      <c r="L235" s="163" t="str">
        <f>IFERROR(VLOOKUP(D235,Transco!B:E,4,FALSE),"")</f>
        <v>=INDEX(Liste;$E$2;286)</v>
      </c>
      <c r="M235" s="7" t="str">
        <f>IFERROR(VLOOKUP(J235,Transco!B:E,4,FALSE),"")</f>
        <v>=INDEX(Liste;$E$2;286)</v>
      </c>
      <c r="N235" s="7" t="str">
        <f>IFERROR(VLOOKUP(K235,Transco!B:E,4,FALSE),"")</f>
        <v/>
      </c>
      <c r="O235" s="82" t="s">
        <v>3078</v>
      </c>
    </row>
    <row r="236" spans="2:16" x14ac:dyDescent="0.2">
      <c r="B236" s="39" t="s">
        <v>1720</v>
      </c>
      <c r="C236" s="40"/>
      <c r="D236" s="41" t="s">
        <v>677</v>
      </c>
      <c r="E236" s="57" t="str">
        <f>INDEX(Calculs,$E$2,285)</f>
        <v>Compte de résultat:Production vendue biens Export année N</v>
      </c>
      <c r="F236" s="57" t="str">
        <f>INDEX(Calculs,$E$2,285)</f>
        <v>Compte de résultat:Production vendue biens Export année N</v>
      </c>
      <c r="G236" s="57"/>
      <c r="I236" s="7" t="str">
        <f t="shared" si="11"/>
        <v>FE</v>
      </c>
      <c r="J236" s="7" t="str">
        <f t="shared" si="14"/>
        <v>FE</v>
      </c>
      <c r="K236" s="7" t="str">
        <f t="shared" si="15"/>
        <v>FE(N1)</v>
      </c>
      <c r="L236" s="163" t="str">
        <f>IFERROR(VLOOKUP(D236,Transco!B:E,4,FALSE),"")</f>
        <v>=INDEX(Liste;$E$2;285)</v>
      </c>
      <c r="M236" s="7" t="str">
        <f>IFERROR(VLOOKUP(J236,Transco!B:E,4,FALSE),"")</f>
        <v>=INDEX(Liste;$E$2;285)</v>
      </c>
      <c r="N236" s="7" t="str">
        <f>IFERROR(VLOOKUP(K236,Transco!B:E,4,FALSE),"")</f>
        <v/>
      </c>
      <c r="O236" s="82" t="s">
        <v>3079</v>
      </c>
    </row>
    <row r="237" spans="2:16" x14ac:dyDescent="0.2">
      <c r="B237" s="138" t="s">
        <v>1722</v>
      </c>
      <c r="C237" s="139"/>
      <c r="D237" s="140" t="s">
        <v>683</v>
      </c>
      <c r="E237" s="57" t="str">
        <f>INDEX(Calculs,$E$2,291)</f>
        <v>Compte de résultat:Production vendue services Total année N</v>
      </c>
      <c r="F237" s="57" t="str">
        <f>INDEX(Calculs,$E$2,291)</f>
        <v>Compte de résultat:Production vendue services Total année N</v>
      </c>
      <c r="G237" s="57" t="str">
        <f>INDEX(Calculs,$E$2,292)</f>
        <v>Compte de résultat:Production vendue services Total année N-1</v>
      </c>
      <c r="I237" s="7" t="str">
        <f t="shared" si="11"/>
        <v>FI</v>
      </c>
      <c r="J237" s="7" t="str">
        <f t="shared" si="14"/>
        <v>FI</v>
      </c>
      <c r="K237" s="7" t="str">
        <f t="shared" si="15"/>
        <v>FI(N1)</v>
      </c>
      <c r="L237" s="163" t="str">
        <f>IFERROR(VLOOKUP(D237,Transco!B:E,4,FALSE),"")</f>
        <v>=INDEX(Liste;$E$2;291)</v>
      </c>
      <c r="M237" s="7" t="str">
        <f>IFERROR(VLOOKUP(J237,Transco!B:E,4,FALSE),"")</f>
        <v>=INDEX(Liste;$E$2;291)</v>
      </c>
      <c r="N237" s="7" t="str">
        <f>IFERROR(VLOOKUP(K237,Transco!B:E,4,FALSE),"")</f>
        <v>=INDEX(Liste;$E$2;292)</v>
      </c>
      <c r="O237" s="85" t="s">
        <v>3080</v>
      </c>
      <c r="P237" s="7" t="str">
        <f>INDEX(Calculs,$E$2,184)</f>
        <v>Compte de résultat (suite):Participation des salariés aux résultats de l� entreprise Année N-1</v>
      </c>
    </row>
    <row r="238" spans="2:16" x14ac:dyDescent="0.2">
      <c r="B238" s="39" t="s">
        <v>1719</v>
      </c>
      <c r="C238" s="40"/>
      <c r="D238" s="41" t="s">
        <v>682</v>
      </c>
      <c r="E238" s="57" t="str">
        <f>INDEX(Calculs,$E$2,290)</f>
        <v>Compte de résultat:Production vendue services France Année N</v>
      </c>
      <c r="F238" s="57" t="str">
        <f>INDEX(Calculs,$E$2,290)</f>
        <v>Compte de résultat:Production vendue services France Année N</v>
      </c>
      <c r="G238" s="57"/>
      <c r="I238" s="7" t="str">
        <f t="shared" si="11"/>
        <v>FG</v>
      </c>
      <c r="J238" s="7" t="str">
        <f t="shared" si="14"/>
        <v>FG</v>
      </c>
      <c r="K238" s="7" t="str">
        <f t="shared" si="15"/>
        <v>FG(N1)</v>
      </c>
      <c r="L238" s="163" t="str">
        <f>IFERROR(VLOOKUP(D238,Transco!B:E,4,FALSE),"")</f>
        <v>=INDEX(Liste;$E$2;290)</v>
      </c>
      <c r="M238" s="7" t="str">
        <f>IFERROR(VLOOKUP(J238,Transco!B:E,4,FALSE),"")</f>
        <v>=INDEX(Liste;$E$2;290)</v>
      </c>
      <c r="N238" s="7" t="str">
        <f>IFERROR(VLOOKUP(K238,Transco!B:E,4,FALSE),"")</f>
        <v/>
      </c>
      <c r="O238" s="85" t="s">
        <v>3081</v>
      </c>
      <c r="P238" s="7" t="str">
        <f>INDEX(Calculs,$E$2,185)</f>
        <v>Compte de résultat (suite):Produits exceptionnels sur opérations de gestion Année N</v>
      </c>
    </row>
    <row r="239" spans="2:16" x14ac:dyDescent="0.2">
      <c r="B239" s="39" t="s">
        <v>1720</v>
      </c>
      <c r="C239" s="40"/>
      <c r="D239" s="41" t="s">
        <v>681</v>
      </c>
      <c r="E239" s="57" t="str">
        <f>INDEX(Calculs,$E$2,289)</f>
        <v>Compte de résultat:Production vendue services Export année N</v>
      </c>
      <c r="F239" s="57" t="str">
        <f>INDEX(Calculs,$E$2,289)</f>
        <v>Compte de résultat:Production vendue services Export année N</v>
      </c>
      <c r="G239" s="57"/>
      <c r="I239" s="7" t="str">
        <f t="shared" si="11"/>
        <v>FH</v>
      </c>
      <c r="J239" s="7" t="str">
        <f t="shared" si="14"/>
        <v>FH</v>
      </c>
      <c r="K239" s="7" t="str">
        <f t="shared" si="15"/>
        <v>FH(N1)</v>
      </c>
      <c r="L239" s="163" t="str">
        <f>IFERROR(VLOOKUP(D239,Transco!B:E,4,FALSE),"")</f>
        <v>=INDEX(Liste;$E$2;289)</v>
      </c>
      <c r="M239" s="7" t="str">
        <f>IFERROR(VLOOKUP(J239,Transco!B:E,4,FALSE),"")</f>
        <v>=INDEX(Liste;$E$2;289)</v>
      </c>
      <c r="N239" s="7" t="str">
        <f>IFERROR(VLOOKUP(K239,Transco!B:E,4,FALSE),"")</f>
        <v/>
      </c>
      <c r="O239" s="85" t="s">
        <v>3082</v>
      </c>
      <c r="P239" s="81" t="str">
        <f>INDEX(Calculs,$E$2,186)</f>
        <v>Compte de résultat (suite):Produits exceptionnels sur opérations de gestion Année N-1</v>
      </c>
    </row>
    <row r="240" spans="2:16" x14ac:dyDescent="0.2">
      <c r="B240" s="111" t="s">
        <v>1723</v>
      </c>
      <c r="C240" s="112"/>
      <c r="D240" s="113" t="s">
        <v>675</v>
      </c>
      <c r="E240" s="130" t="str">
        <f>INDEX(Calculs,$E$2,283)</f>
        <v>Compte de résultat:Chiffres d'affaires nets Total année N</v>
      </c>
      <c r="F240" s="134" t="str">
        <f>INDEX(Calculs,$E$2,283)</f>
        <v>Compte de résultat:Chiffres d'affaires nets Total année N</v>
      </c>
      <c r="G240" s="134" t="str">
        <f>INDEX(Calculs,$E$2,284)</f>
        <v>Compte de résultat:Chiffres d'affaires nets Total année N-1</v>
      </c>
      <c r="I240" s="7" t="str">
        <f t="shared" ref="I240:I303" si="16">D240</f>
        <v>FL</v>
      </c>
      <c r="J240" s="7" t="str">
        <f t="shared" si="14"/>
        <v>FL</v>
      </c>
      <c r="K240" s="7" t="str">
        <f t="shared" si="15"/>
        <v>FL(N1)</v>
      </c>
      <c r="L240" s="163" t="str">
        <f>IFERROR(VLOOKUP(D240,Transco!B:E,4,FALSE),"")</f>
        <v>=INDEX(Liste;$E$2;283)</v>
      </c>
      <c r="M240" s="7" t="str">
        <f>IFERROR(VLOOKUP(J240,Transco!B:E,4,FALSE),"")</f>
        <v>=INDEX(Liste;$E$2;283)</v>
      </c>
      <c r="N240" s="7" t="str">
        <f>IFERROR(VLOOKUP(K240,Transco!B:E,4,FALSE),"")</f>
        <v>=INDEX(Liste;$E$2;284)</v>
      </c>
      <c r="O240" s="85" t="s">
        <v>3083</v>
      </c>
      <c r="P240" s="7" t="str">
        <f>INDEX(Calculs,$E$2,187)</f>
        <v>Compte de résultat (suite):Produits exceptionnels sur opérations en capital Année N</v>
      </c>
    </row>
    <row r="241" spans="2:16" x14ac:dyDescent="0.2">
      <c r="B241" s="39" t="s">
        <v>1719</v>
      </c>
      <c r="C241" s="40"/>
      <c r="D241" s="41" t="s">
        <v>674</v>
      </c>
      <c r="E241" s="57" t="str">
        <f>INDEX(Calculs,$E$2,282)</f>
        <v>Compte de résultat:Chiffres d'affaires nets France Année N</v>
      </c>
      <c r="F241" s="57" t="str">
        <f>INDEX(Calculs,$E$2,282)</f>
        <v>Compte de résultat:Chiffres d'affaires nets France Année N</v>
      </c>
      <c r="G241" s="57"/>
      <c r="I241" s="7" t="str">
        <f t="shared" si="16"/>
        <v>FJ</v>
      </c>
      <c r="J241" s="7" t="str">
        <f t="shared" si="14"/>
        <v>FJ</v>
      </c>
      <c r="K241" s="7" t="str">
        <f t="shared" si="15"/>
        <v>FJ(N1)</v>
      </c>
      <c r="L241" s="163" t="str">
        <f>IFERROR(VLOOKUP(D241,Transco!B:E,4,FALSE),"")</f>
        <v>=INDEX(Liste;$E$2;282)</v>
      </c>
      <c r="M241" s="7" t="str">
        <f>IFERROR(VLOOKUP(J241,Transco!B:E,4,FALSE),"")</f>
        <v>=INDEX(Liste;$E$2;282)</v>
      </c>
      <c r="N241" s="7" t="str">
        <f>IFERROR(VLOOKUP(K241,Transco!B:E,4,FALSE),"")</f>
        <v/>
      </c>
      <c r="O241" s="85" t="s">
        <v>3084</v>
      </c>
      <c r="P241" s="7" t="str">
        <f>INDEX(Calculs,$E$2,188)</f>
        <v>Compte de résultat (suite):Produits exceptionnels sur opérations en capital Année N-1</v>
      </c>
    </row>
    <row r="242" spans="2:16" x14ac:dyDescent="0.2">
      <c r="B242" s="39" t="s">
        <v>1720</v>
      </c>
      <c r="C242" s="40"/>
      <c r="D242" s="41" t="s">
        <v>673</v>
      </c>
      <c r="E242" s="57" t="str">
        <f>INDEX(Calculs,$E$2,281)</f>
        <v>Compte de résultat:Chiffres d'affaires nets Export année N</v>
      </c>
      <c r="F242" s="57" t="str">
        <f>INDEX(Calculs,$E$2,281)</f>
        <v>Compte de résultat:Chiffres d'affaires nets Export année N</v>
      </c>
      <c r="G242" s="57"/>
      <c r="I242" s="7" t="str">
        <f t="shared" si="16"/>
        <v>FK</v>
      </c>
      <c r="J242" s="7" t="str">
        <f t="shared" si="14"/>
        <v>FK</v>
      </c>
      <c r="K242" s="7" t="str">
        <f t="shared" si="15"/>
        <v>FK(N1)</v>
      </c>
      <c r="L242" s="163" t="str">
        <f>IFERROR(VLOOKUP(D242,Transco!B:E,4,FALSE),"")</f>
        <v>=INDEX(Liste;$E$2;281)</v>
      </c>
      <c r="M242" s="7" t="str">
        <f>IFERROR(VLOOKUP(J242,Transco!B:E,4,FALSE),"")</f>
        <v>=INDEX(Liste;$E$2;281)</v>
      </c>
      <c r="N242" s="7" t="str">
        <f>IFERROR(VLOOKUP(K242,Transco!B:E,4,FALSE),"")</f>
        <v/>
      </c>
      <c r="O242" s="85" t="s">
        <v>250</v>
      </c>
      <c r="P242" s="7" t="str">
        <f>INDEX(Calculs,$E$2,189)</f>
        <v>Compte de résultat (suite):Renvois : Crédit-bail immobilier Année N</v>
      </c>
    </row>
    <row r="243" spans="2:16" x14ac:dyDescent="0.2">
      <c r="B243" s="38"/>
      <c r="C243" s="38"/>
      <c r="D243" s="103"/>
      <c r="E243" s="57"/>
      <c r="F243" s="57"/>
      <c r="G243" s="57"/>
      <c r="I243" s="7">
        <f t="shared" si="16"/>
        <v>0</v>
      </c>
      <c r="J243" s="7">
        <f t="shared" si="14"/>
        <v>0</v>
      </c>
      <c r="L243" s="163" t="str">
        <f>IFERROR(VLOOKUP(D243,Transco!B:E,4,FALSE),"")</f>
        <v/>
      </c>
      <c r="M243" s="7" t="str">
        <f>IFERROR(VLOOKUP(J243,Transco!B:E,4,FALSE),"")</f>
        <v/>
      </c>
      <c r="N243" s="7" t="str">
        <f>IFERROR(VLOOKUP(K243,Transco!B:E,4,FALSE),"")</f>
        <v/>
      </c>
      <c r="O243" s="85" t="s">
        <v>251</v>
      </c>
      <c r="P243" s="7" t="str">
        <f>INDEX(Calculs,$E$2,190)</f>
        <v>Compte de résultat (suite):Renvois : Crédit-bail immobilier Année N-1</v>
      </c>
    </row>
    <row r="244" spans="2:16" x14ac:dyDescent="0.2">
      <c r="B244" s="39" t="s">
        <v>1724</v>
      </c>
      <c r="C244" s="40"/>
      <c r="D244" s="41" t="s">
        <v>639</v>
      </c>
      <c r="E244" s="57" t="str">
        <f>INDEX(Calculs,$E$2,247)</f>
        <v>Compte de résultat: Production stockée Année N</v>
      </c>
      <c r="F244" s="57" t="str">
        <f>INDEX(Calculs,$E$2,247)</f>
        <v>Compte de résultat: Production stockée Année N</v>
      </c>
      <c r="G244" s="57" t="str">
        <f>INDEX(Calculs,$E$2,248)</f>
        <v>Compte de résultat: Production stockée Année N-1</v>
      </c>
      <c r="I244" s="7" t="str">
        <f t="shared" si="16"/>
        <v>FM</v>
      </c>
      <c r="J244" s="7" t="str">
        <f t="shared" si="14"/>
        <v>FM</v>
      </c>
      <c r="K244" s="7" t="str">
        <f>D244&amp;"(N1)"</f>
        <v>FM(N1)</v>
      </c>
      <c r="L244" s="163" t="str">
        <f>IFERROR(VLOOKUP(D244,Transco!B:E,4,FALSE),"")</f>
        <v>=INDEX(Liste;$E$2;247)</v>
      </c>
      <c r="M244" s="7" t="str">
        <f>IFERROR(VLOOKUP(J244,Transco!B:E,4,FALSE),"")</f>
        <v>=INDEX(Liste;$E$2;247)</v>
      </c>
      <c r="N244" s="7" t="str">
        <f>IFERROR(VLOOKUP(K244,Transco!B:E,4,FALSE),"")</f>
        <v>=INDEX(Liste;$E$2;248)</v>
      </c>
      <c r="O244" s="85" t="s">
        <v>3085</v>
      </c>
      <c r="P244" s="7" t="str">
        <f>INDEX(Calculs,$E$2,191)</f>
        <v>Compte de résultat (suite):Renvois : Crédit-bail mobilier Année N</v>
      </c>
    </row>
    <row r="245" spans="2:16" x14ac:dyDescent="0.2">
      <c r="B245" s="39" t="s">
        <v>1725</v>
      </c>
      <c r="C245" s="40"/>
      <c r="D245" s="41" t="s">
        <v>637</v>
      </c>
      <c r="E245" s="57" t="str">
        <f>INDEX(Calculs,$E$2,245)</f>
        <v>Compte de résultat: Production immobilisée Année N</v>
      </c>
      <c r="F245" s="57" t="str">
        <f>INDEX(Calculs,$E$2,245)</f>
        <v>Compte de résultat: Production immobilisée Année N</v>
      </c>
      <c r="G245" s="57" t="str">
        <f>INDEX(Calculs,$E$2,246)</f>
        <v>Compte de résultat: Production immobilisée Année N-1</v>
      </c>
      <c r="I245" s="7" t="str">
        <f t="shared" si="16"/>
        <v>FN</v>
      </c>
      <c r="J245" s="7" t="str">
        <f t="shared" si="14"/>
        <v>FN</v>
      </c>
      <c r="K245" s="7" t="str">
        <f>D245&amp;"(N1)"</f>
        <v>FN(N1)</v>
      </c>
      <c r="L245" s="163" t="str">
        <f>IFERROR(VLOOKUP(D245,Transco!B:E,4,FALSE),"")</f>
        <v>=INDEX(Liste;$E$2;245)</v>
      </c>
      <c r="M245" s="7" t="str">
        <f>IFERROR(VLOOKUP(J245,Transco!B:E,4,FALSE),"")</f>
        <v>=INDEX(Liste;$E$2;245)</v>
      </c>
      <c r="N245" s="7" t="str">
        <f>IFERROR(VLOOKUP(K245,Transco!B:E,4,FALSE),"")</f>
        <v>=INDEX(Liste;$E$2;246)</v>
      </c>
      <c r="O245" s="85" t="s">
        <v>3086</v>
      </c>
      <c r="P245" s="7" t="str">
        <f>INDEX(Calculs,$E$2,192)</f>
        <v>Compte de résultat (suite):Renvois : Crédit-bail mobilier Année N-1</v>
      </c>
    </row>
    <row r="246" spans="2:16" x14ac:dyDescent="0.2">
      <c r="B246" s="39" t="s">
        <v>1726</v>
      </c>
      <c r="C246" s="40"/>
      <c r="D246" s="41" t="s">
        <v>1727</v>
      </c>
      <c r="E246" s="57" t="str">
        <f>INDEX(Calculs,$E$2,267)</f>
        <v>Compte de résultat: Subventions d'exploitation Année N</v>
      </c>
      <c r="F246" s="57" t="str">
        <f>INDEX(Calculs,$E$2,267)</f>
        <v>Compte de résultat: Subventions d'exploitation Année N</v>
      </c>
      <c r="G246" s="57" t="str">
        <f>INDEX(Calculs,$E$2,268)</f>
        <v>Compte de résultat: Subventions d'exploitation Année N-1</v>
      </c>
      <c r="I246" s="7" t="str">
        <f t="shared" si="16"/>
        <v>FO</v>
      </c>
      <c r="J246" s="7" t="str">
        <f t="shared" si="14"/>
        <v>FO</v>
      </c>
      <c r="K246" s="7" t="str">
        <f>D246&amp;"(N1)"</f>
        <v>FO(N1)</v>
      </c>
      <c r="L246" s="163" t="str">
        <f>IFERROR(VLOOKUP(D246,Transco!B:E,4,FALSE),"")</f>
        <v>=INDEX(Liste;$E$2;267)</v>
      </c>
      <c r="M246" s="7" t="str">
        <f>IFERROR(VLOOKUP(J246,Transco!B:E,4,FALSE),"")</f>
        <v>=INDEX(Liste;$E$2;267)</v>
      </c>
      <c r="N246" s="7" t="str">
        <f>IFERROR(VLOOKUP(K246,Transco!B:E,4,FALSE),"")</f>
        <v>=INDEX(Liste;$E$2;268)</v>
      </c>
      <c r="O246" s="85" t="s">
        <v>252</v>
      </c>
      <c r="P246" s="7" t="str">
        <f>INDEX(Calculs,$E$2,193)</f>
        <v>Compte de résultat (suite):Reprises sur provisions et transferts de charges Année N</v>
      </c>
    </row>
    <row r="247" spans="2:16" x14ac:dyDescent="0.2">
      <c r="B247" s="39" t="s">
        <v>1728</v>
      </c>
      <c r="C247" s="40"/>
      <c r="D247" s="41" t="s">
        <v>653</v>
      </c>
      <c r="E247" s="57" t="str">
        <f>INDEX(Calculs,$E$2,261)</f>
        <v>Compte de résultat: Reprises sur amortissements et provisions, transfert de charges Année N</v>
      </c>
      <c r="F247" s="57" t="str">
        <f>INDEX(Calculs,$E$2,261)</f>
        <v>Compte de résultat: Reprises sur amortissements et provisions, transfert de charges Année N</v>
      </c>
      <c r="G247" s="57" t="str">
        <f>INDEX(Calculs,$E$2,262)</f>
        <v>Compte de résultat: Reprises sur amortissements et provisions, transfert de charges Année N-1</v>
      </c>
      <c r="I247" s="7" t="str">
        <f t="shared" si="16"/>
        <v>FP</v>
      </c>
      <c r="J247" s="7" t="str">
        <f t="shared" si="14"/>
        <v>FP</v>
      </c>
      <c r="K247" s="7" t="str">
        <f>D247&amp;"(N1)"</f>
        <v>FP(N1)</v>
      </c>
      <c r="L247" s="163" t="str">
        <f>IFERROR(VLOOKUP(D247,Transco!B:E,4,FALSE),"")</f>
        <v>=INDEX(Liste;$E$2;261)</v>
      </c>
      <c r="M247" s="7" t="str">
        <f>IFERROR(VLOOKUP(J247,Transco!B:E,4,FALSE),"")</f>
        <v>=INDEX(Liste;$E$2;261)</v>
      </c>
      <c r="N247" s="7" t="str">
        <f>IFERROR(VLOOKUP(K247,Transco!B:E,4,FALSE),"")</f>
        <v>=INDEX(Liste;$E$2;262)</v>
      </c>
      <c r="O247" s="85" t="s">
        <v>253</v>
      </c>
      <c r="P247" s="7" t="str">
        <f>INDEX(Calculs,$E$2,194)</f>
        <v>Compte de résultat (suite):Reprises sur provisions et transferts de charges Année N-1</v>
      </c>
    </row>
    <row r="248" spans="2:16" x14ac:dyDescent="0.2">
      <c r="B248" s="39" t="s">
        <v>1729</v>
      </c>
      <c r="C248" s="40"/>
      <c r="D248" s="41" t="s">
        <v>609</v>
      </c>
      <c r="E248" s="57" t="str">
        <f>INDEX(Calculs,$E$2,217)</f>
        <v>Compte de résultat: Autres produits Année N</v>
      </c>
      <c r="F248" s="57" t="str">
        <f>INDEX(Calculs,$E$2,217)</f>
        <v>Compte de résultat: Autres produits Année N</v>
      </c>
      <c r="G248" s="57" t="str">
        <f>INDEX(Calculs,$E$2,218)</f>
        <v>Compte de résultat: Autres produits Année N-1</v>
      </c>
      <c r="I248" s="7" t="str">
        <f t="shared" si="16"/>
        <v>FQ</v>
      </c>
      <c r="J248" s="7" t="str">
        <f t="shared" si="14"/>
        <v>FQ</v>
      </c>
      <c r="K248" s="7" t="str">
        <f>D248&amp;"(N1)"</f>
        <v>FQ(N1)</v>
      </c>
      <c r="L248" s="163" t="str">
        <f>IFERROR(VLOOKUP(D248,Transco!B:E,4,FALSE),"")</f>
        <v>=INDEX(Liste;$E$2;217)</v>
      </c>
      <c r="M248" s="7" t="str">
        <f>IFERROR(VLOOKUP(J248,Transco!B:E,4,FALSE),"")</f>
        <v>=INDEX(Liste;$E$2;217)</v>
      </c>
      <c r="N248" s="7" t="str">
        <f>IFERROR(VLOOKUP(K248,Transco!B:E,4,FALSE),"")</f>
        <v>=INDEX(Liste;$E$2;218)</v>
      </c>
      <c r="O248" s="85" t="s">
        <v>254</v>
      </c>
      <c r="P248" s="7" t="str">
        <f>INDEX(Calculs,$E$2,195)</f>
        <v>Compte de résultat (suite):Résultat Groupe (Résultat net consolidé) Année N</v>
      </c>
    </row>
    <row r="249" spans="2:16" x14ac:dyDescent="0.2">
      <c r="B249" s="38"/>
      <c r="C249" s="38"/>
      <c r="D249" s="103"/>
      <c r="E249" s="57"/>
      <c r="F249" s="57"/>
      <c r="G249" s="57"/>
      <c r="I249" s="7">
        <f t="shared" si="16"/>
        <v>0</v>
      </c>
      <c r="J249" s="7">
        <f t="shared" si="14"/>
        <v>0</v>
      </c>
      <c r="L249" s="163" t="str">
        <f>IFERROR(VLOOKUP(D249,Transco!B:E,4,FALSE),"")</f>
        <v/>
      </c>
      <c r="M249" s="7" t="str">
        <f>IFERROR(VLOOKUP(J249,Transco!B:E,4,FALSE),"")</f>
        <v/>
      </c>
      <c r="N249" s="7" t="str">
        <f>IFERROR(VLOOKUP(K249,Transco!B:E,4,FALSE),"")</f>
        <v/>
      </c>
      <c r="O249" s="85" t="s">
        <v>255</v>
      </c>
      <c r="P249" s="7" t="str">
        <f>INDEX(Calculs,$E$2,196)</f>
        <v>Compte de résultat (suite):Résultat Groupe (Résultat net consolidé) Année N-1</v>
      </c>
    </row>
    <row r="250" spans="2:16" x14ac:dyDescent="0.2">
      <c r="B250" s="111" t="s">
        <v>1730</v>
      </c>
      <c r="C250" s="112"/>
      <c r="D250" s="113" t="s">
        <v>665</v>
      </c>
      <c r="E250" s="130" t="str">
        <f>INDEX(Calculs,$E$2,273)</f>
        <v>Compte de résultat: Total des produits d'exploitation (I) Année N</v>
      </c>
      <c r="F250" s="134" t="str">
        <f>INDEX(Calculs,$E$2,273)</f>
        <v>Compte de résultat: Total des produits d'exploitation (I) Année N</v>
      </c>
      <c r="G250" s="134" t="str">
        <f>INDEX(Calculs,$E$2,274)</f>
        <v>Compte de résultat: Total des produits d'exploitation (I) Année N-1</v>
      </c>
      <c r="I250" s="7" t="str">
        <f t="shared" si="16"/>
        <v>FR</v>
      </c>
      <c r="J250" s="7" t="str">
        <f t="shared" si="14"/>
        <v>FR</v>
      </c>
      <c r="K250" s="7" t="str">
        <f>D250&amp;"(N1)"</f>
        <v>FR(N1)</v>
      </c>
      <c r="L250" s="163" t="str">
        <f>IFERROR(VLOOKUP(D250,Transco!B:E,4,FALSE),"")</f>
        <v>=INDEX(Liste;$E$2;273)</v>
      </c>
      <c r="M250" s="7" t="str">
        <f>IFERROR(VLOOKUP(J250,Transco!B:E,4,FALSE),"")</f>
        <v>=INDEX(Liste;$E$2;273)</v>
      </c>
      <c r="N250" s="7" t="str">
        <f>IFERROR(VLOOKUP(K250,Transco!B:E,4,FALSE),"")</f>
        <v>=INDEX(Liste;$E$2;274)</v>
      </c>
      <c r="O250" s="85" t="s">
        <v>3087</v>
      </c>
      <c r="P250" s="7" t="str">
        <f>INDEX(Calculs,$E$2,197)</f>
        <v>Compte de résultat (suite):Résultat net des entreprises intégrées Année N</v>
      </c>
    </row>
    <row r="251" spans="2:16" x14ac:dyDescent="0.2">
      <c r="B251" s="38"/>
      <c r="C251" s="38"/>
      <c r="D251" s="103"/>
      <c r="E251" s="103"/>
      <c r="I251" s="7">
        <f t="shared" si="16"/>
        <v>0</v>
      </c>
      <c r="J251" s="7">
        <f t="shared" si="14"/>
        <v>0</v>
      </c>
      <c r="L251" s="163" t="str">
        <f>IFERROR(VLOOKUP(D251,Transco!B:E,4,FALSE),"")</f>
        <v/>
      </c>
      <c r="M251" s="7" t="str">
        <f>IFERROR(VLOOKUP(J251,Transco!B:E,4,FALSE),"")</f>
        <v/>
      </c>
      <c r="N251" s="7" t="str">
        <f>IFERROR(VLOOKUP(K251,Transco!B:E,4,FALSE),"")</f>
        <v/>
      </c>
      <c r="O251" s="85" t="s">
        <v>3088</v>
      </c>
      <c r="P251" s="7" t="str">
        <f>INDEX(Calculs,$E$2,199)</f>
        <v>Compte de résultat (suite):Résultat net des sociétés mises en équivalence Année N</v>
      </c>
    </row>
    <row r="252" spans="2:16" x14ac:dyDescent="0.2">
      <c r="B252" s="105" t="s">
        <v>1731</v>
      </c>
      <c r="C252" s="105"/>
      <c r="D252" s="106"/>
      <c r="E252" s="106"/>
      <c r="F252" s="106"/>
      <c r="G252" s="106"/>
      <c r="I252" s="7">
        <f t="shared" si="16"/>
        <v>0</v>
      </c>
      <c r="J252" s="7">
        <f t="shared" si="14"/>
        <v>0</v>
      </c>
      <c r="L252" s="163" t="str">
        <f>IFERROR(VLOOKUP(D252,Transco!B:E,4,FALSE),"")</f>
        <v/>
      </c>
      <c r="M252" s="7" t="str">
        <f>IFERROR(VLOOKUP(J252,Transco!B:E,4,FALSE),"")</f>
        <v/>
      </c>
      <c r="N252" s="7" t="str">
        <f>IFERROR(VLOOKUP(K252,Transco!B:E,4,FALSE),"")</f>
        <v/>
      </c>
      <c r="O252" s="85" t="s">
        <v>256</v>
      </c>
      <c r="P252" s="7" t="str">
        <f>INDEX(Calculs,$E$2,200)</f>
        <v>Compte de résultat (suite):Résultat net des sociétés mises en équivalence Année N-1</v>
      </c>
    </row>
    <row r="253" spans="2:16" x14ac:dyDescent="0.2">
      <c r="B253" s="39" t="s">
        <v>1732</v>
      </c>
      <c r="C253" s="40"/>
      <c r="D253" s="41" t="s">
        <v>599</v>
      </c>
      <c r="E253" s="40" t="str">
        <f>INDEX(Calculs,$E$2,207)</f>
        <v>Compte de résultat: Achats de marchandises (y compris droits de douane) Année N</v>
      </c>
      <c r="F253" s="57" t="str">
        <f>INDEX(Calculs,$E$2,207)</f>
        <v>Compte de résultat: Achats de marchandises (y compris droits de douane) Année N</v>
      </c>
      <c r="G253" s="57" t="str">
        <f>INDEX(Calculs,$E$2,208)</f>
        <v>Compte de résultat: Achats de marchandises (y compris droits de douane) Année N-1</v>
      </c>
      <c r="I253" s="7" t="str">
        <f t="shared" si="16"/>
        <v>FS</v>
      </c>
      <c r="J253" s="7" t="str">
        <f t="shared" si="14"/>
        <v>FS</v>
      </c>
      <c r="K253" s="7" t="str">
        <f t="shared" ref="K253:K258" si="17">D253&amp;"(N1)"</f>
        <v>FS(N1)</v>
      </c>
      <c r="L253" s="163" t="str">
        <f>IFERROR(VLOOKUP(D253,Transco!B:E,4,FALSE),"")</f>
        <v>=INDEX(Liste;$E$2;207)</v>
      </c>
      <c r="M253" s="7" t="str">
        <f>IFERROR(VLOOKUP(J253,Transco!B:E,4,FALSE),"")</f>
        <v>=INDEX(Liste;$E$2;207)</v>
      </c>
      <c r="N253" s="7" t="str">
        <f>IFERROR(VLOOKUP(K253,Transco!B:E,4,FALSE),"")</f>
        <v>=INDEX(Liste;$E$2;208)</v>
      </c>
      <c r="O253" s="85" t="s">
        <v>257</v>
      </c>
      <c r="P253" s="7" t="str">
        <f>INDEX(Calculs,$E$2,201)</f>
        <v>Compte de résultat (suite):Résultat net part du groupe (part de la société mére) Année N</v>
      </c>
    </row>
    <row r="254" spans="2:16" x14ac:dyDescent="0.2">
      <c r="B254" s="39" t="s">
        <v>1733</v>
      </c>
      <c r="C254" s="40"/>
      <c r="D254" s="41" t="s">
        <v>669</v>
      </c>
      <c r="E254" s="40" t="str">
        <f>INDEX(Calculs,$E$2,277)</f>
        <v>Compte de résultat: Variation de stock (marchandises) Année N</v>
      </c>
      <c r="F254" s="57" t="str">
        <f>INDEX(Calculs,$E$2,277)</f>
        <v>Compte de résultat: Variation de stock (marchandises) Année N</v>
      </c>
      <c r="G254" s="57" t="str">
        <f>INDEX(Calculs,$E$2,278)</f>
        <v>Compte de résultat: Variation de stock (marchandises) Année N-1</v>
      </c>
      <c r="I254" s="7" t="str">
        <f t="shared" si="16"/>
        <v>FT</v>
      </c>
      <c r="J254" s="7" t="str">
        <f t="shared" si="14"/>
        <v>FT</v>
      </c>
      <c r="K254" s="7" t="str">
        <f t="shared" si="17"/>
        <v>FT(N1)</v>
      </c>
      <c r="L254" s="163" t="str">
        <f>IFERROR(VLOOKUP(D254,Transco!B:E,4,FALSE),"")</f>
        <v>=INDEX(Liste;$E$2;277)</v>
      </c>
      <c r="M254" s="7" t="str">
        <f>IFERROR(VLOOKUP(J254,Transco!B:E,4,FALSE),"")</f>
        <v>=INDEX(Liste;$E$2;277)</v>
      </c>
      <c r="N254" s="7" t="str">
        <f>IFERROR(VLOOKUP(K254,Transco!B:E,4,FALSE),"")</f>
        <v>=INDEX(Liste;$E$2;278)</v>
      </c>
      <c r="O254" s="85" t="s">
        <v>3089</v>
      </c>
      <c r="P254" s="7" t="str">
        <f>INDEX(Calculs,$E$2,202)</f>
        <v>Compte de résultat (suite):Résultat net part du groupe (part de la société mére) Année N-1</v>
      </c>
    </row>
    <row r="255" spans="2:16" x14ac:dyDescent="0.2">
      <c r="B255" s="39" t="s">
        <v>1734</v>
      </c>
      <c r="C255" s="40"/>
      <c r="D255" s="41" t="s">
        <v>601</v>
      </c>
      <c r="E255" s="40" t="str">
        <f>INDEX(Calculs,$E$2,209)</f>
        <v>Compte de résultat: Achats de matiéres premiéres et autres approvisionnements Année N</v>
      </c>
      <c r="F255" s="57" t="str">
        <f>INDEX(Calculs,$E$2,209)</f>
        <v>Compte de résultat: Achats de matiéres premiéres et autres approvisionnements Année N</v>
      </c>
      <c r="G255" s="57" t="str">
        <f>INDEX(Calculs,$E$2,210)</f>
        <v>Compte de résultat: Achats de matiéres premiéres et autres approvisionnements Année N-1</v>
      </c>
      <c r="I255" s="7" t="str">
        <f t="shared" si="16"/>
        <v>FU</v>
      </c>
      <c r="J255" s="7" t="str">
        <f t="shared" si="14"/>
        <v>FU</v>
      </c>
      <c r="K255" s="7" t="str">
        <f t="shared" si="17"/>
        <v>FU(N1)</v>
      </c>
      <c r="L255" s="163" t="str">
        <f>IFERROR(VLOOKUP(D255,Transco!B:E,4,FALSE),"")</f>
        <v>=INDEX(Liste;$E$2;209)</v>
      </c>
      <c r="M255" s="7" t="str">
        <f>IFERROR(VLOOKUP(J255,Transco!B:E,4,FALSE),"")</f>
        <v>=INDEX(Liste;$E$2;209)</v>
      </c>
      <c r="N255" s="7" t="str">
        <f>IFERROR(VLOOKUP(K255,Transco!B:E,4,FALSE),"")</f>
        <v>=INDEX(Liste;$E$2;210)</v>
      </c>
      <c r="O255" s="85" t="s">
        <v>3090</v>
      </c>
      <c r="P255" s="7" t="str">
        <f>INDEX(Calculs,$E$2,203)</f>
        <v>Compte de résultat (suite):Total des charges exceptionnelles (VIII) Année N</v>
      </c>
    </row>
    <row r="256" spans="2:16" x14ac:dyDescent="0.2">
      <c r="B256" s="39" t="s">
        <v>1735</v>
      </c>
      <c r="C256" s="40"/>
      <c r="D256" s="41" t="s">
        <v>671</v>
      </c>
      <c r="E256" s="40" t="str">
        <f>INDEX(Calculs,$E$2,279)</f>
        <v>Compte de résultat: Variation de stock (matiéres premiéres et approvisionnements) Année N</v>
      </c>
      <c r="F256" s="57" t="str">
        <f>INDEX(Calculs,$E$2,279)</f>
        <v>Compte de résultat: Variation de stock (matiéres premiéres et approvisionnements) Année N</v>
      </c>
      <c r="G256" s="57" t="str">
        <f>INDEX(Calculs,$E$2,280)</f>
        <v>Compte de résultat: Variation de stock (matiéres premiéres et approvisionnements) Année N-1</v>
      </c>
      <c r="I256" s="7" t="str">
        <f t="shared" si="16"/>
        <v>FV</v>
      </c>
      <c r="J256" s="7" t="str">
        <f t="shared" si="14"/>
        <v>FV</v>
      </c>
      <c r="K256" s="7" t="str">
        <f t="shared" si="17"/>
        <v>FV(N1)</v>
      </c>
      <c r="L256" s="163" t="str">
        <f>IFERROR(VLOOKUP(D256,Transco!B:E,4,FALSE),"")</f>
        <v>=INDEX(Liste;$E$2;279)</v>
      </c>
      <c r="M256" s="7" t="str">
        <f>IFERROR(VLOOKUP(J256,Transco!B:E,4,FALSE),"")</f>
        <v>=INDEX(Liste;$E$2;279)</v>
      </c>
      <c r="N256" s="7" t="str">
        <f>IFERROR(VLOOKUP(K256,Transco!B:E,4,FALSE),"")</f>
        <v>=INDEX(Liste;$E$2;280)</v>
      </c>
      <c r="O256" s="85" t="s">
        <v>3091</v>
      </c>
      <c r="P256" s="7" t="str">
        <f>INDEX(Calculs,$E$2,204)</f>
        <v>Compte de résultat (suite):Total des charges exceptionnelles (VIII) Année N-1</v>
      </c>
    </row>
    <row r="257" spans="2:16" x14ac:dyDescent="0.2">
      <c r="B257" s="39" t="s">
        <v>1736</v>
      </c>
      <c r="C257" s="40"/>
      <c r="D257" s="41" t="s">
        <v>603</v>
      </c>
      <c r="E257" s="40" t="str">
        <f>INDEX(Calculs,$E$2,211)</f>
        <v>Compte de résultat: Autres achats et charges externes Année N</v>
      </c>
      <c r="F257" s="57" t="str">
        <f>INDEX(Calculs,$E$2,211)</f>
        <v>Compte de résultat: Autres achats et charges externes Année N</v>
      </c>
      <c r="G257" s="57" t="str">
        <f>INDEX(Calculs,$E$2,212)</f>
        <v>Compte de résultat: Autres achats et charges externes Année N-1</v>
      </c>
      <c r="I257" s="7" t="str">
        <f t="shared" si="16"/>
        <v>FW</v>
      </c>
      <c r="J257" s="7" t="str">
        <f t="shared" si="14"/>
        <v>FW</v>
      </c>
      <c r="K257" s="7" t="str">
        <f t="shared" si="17"/>
        <v>FW(N1)</v>
      </c>
      <c r="L257" s="163" t="str">
        <f>IFERROR(VLOOKUP(D257,Transco!B:E,4,FALSE),"")</f>
        <v>=INDEX(Liste;$E$2;211)</v>
      </c>
      <c r="M257" s="7" t="str">
        <f>IFERROR(VLOOKUP(J257,Transco!B:E,4,FALSE),"")</f>
        <v>=INDEX(Liste;$E$2;211)</v>
      </c>
      <c r="N257" s="7" t="str">
        <f>IFERROR(VLOOKUP(K257,Transco!B:E,4,FALSE),"")</f>
        <v>=INDEX(Liste;$E$2;212)</v>
      </c>
      <c r="O257" s="85" t="s">
        <v>3092</v>
      </c>
      <c r="P257" s="7" t="str">
        <f>INDEX(Calculs,$E$2,205)</f>
        <v>Compte de résultat (suite):Total des produits exceptionnels (VII) Année N</v>
      </c>
    </row>
    <row r="258" spans="2:16" x14ac:dyDescent="0.2">
      <c r="B258" s="39" t="s">
        <v>1737</v>
      </c>
      <c r="C258" s="40"/>
      <c r="D258" s="41" t="s">
        <v>631</v>
      </c>
      <c r="E258" s="40" t="str">
        <f>INDEX(Calculs,$E$2,239)</f>
        <v>Compte de résultat: Impo��ts, taxes et versements assimilés Année N</v>
      </c>
      <c r="F258" s="57" t="str">
        <f>INDEX(Calculs,$E$2,239)</f>
        <v>Compte de résultat: Impo��ts, taxes et versements assimilés Année N</v>
      </c>
      <c r="G258" s="57" t="str">
        <f>INDEX(Calculs,$E$2,240)</f>
        <v>Compte de résultat: Impo��ts, taxes et versements assimilés Année N-1</v>
      </c>
      <c r="I258" s="7" t="str">
        <f t="shared" si="16"/>
        <v>FX</v>
      </c>
      <c r="J258" s="7" t="str">
        <f t="shared" si="14"/>
        <v>FX</v>
      </c>
      <c r="K258" s="7" t="str">
        <f t="shared" si="17"/>
        <v>FX(N1)</v>
      </c>
      <c r="L258" s="163" t="str">
        <f>IFERROR(VLOOKUP(D258,Transco!B:E,4,FALSE),"")</f>
        <v>=INDEX(Liste;$E$2;239)</v>
      </c>
      <c r="M258" s="7" t="str">
        <f>IFERROR(VLOOKUP(J258,Transco!B:E,4,FALSE),"")</f>
        <v>=INDEX(Liste;$E$2;239)</v>
      </c>
      <c r="N258" s="7" t="str">
        <f>IFERROR(VLOOKUP(K258,Transco!B:E,4,FALSE),"")</f>
        <v>=INDEX(Liste;$E$2;240)</v>
      </c>
      <c r="O258" s="85" t="s">
        <v>260</v>
      </c>
      <c r="P258" s="7" t="str">
        <f>INDEX(Calculs,$E$2,206)</f>
        <v>Compte de résultat (suite):Total des produits exceptionnels (VII) Année N-1</v>
      </c>
    </row>
    <row r="259" spans="2:16" x14ac:dyDescent="0.2">
      <c r="I259" s="7">
        <f t="shared" si="16"/>
        <v>0</v>
      </c>
      <c r="J259" s="7">
        <f t="shared" si="14"/>
        <v>0</v>
      </c>
      <c r="L259" s="163" t="str">
        <f>IFERROR(VLOOKUP(D259,Transco!B:E,4,FALSE),"")</f>
        <v/>
      </c>
      <c r="M259" s="7" t="str">
        <f>IFERROR(VLOOKUP(J259,Transco!B:E,4,FALSE),"")</f>
        <v/>
      </c>
      <c r="N259" s="7" t="str">
        <f>IFERROR(VLOOKUP(K259,Transco!B:E,4,FALSE),"")</f>
        <v/>
      </c>
      <c r="O259" s="85" t="s">
        <v>261</v>
      </c>
      <c r="P259" s="7" t="str">
        <f>INDEX(Calculs,$E$2,207)</f>
        <v>Compte de résultat: Achats de marchandises (y compris droits de douane) Année N</v>
      </c>
    </row>
    <row r="260" spans="2:16" x14ac:dyDescent="0.2">
      <c r="B260" s="105" t="s">
        <v>1738</v>
      </c>
      <c r="C260" s="105"/>
      <c r="D260" s="106"/>
      <c r="F260" s="141"/>
      <c r="I260" s="7">
        <f t="shared" si="16"/>
        <v>0</v>
      </c>
      <c r="J260" s="7">
        <f t="shared" si="14"/>
        <v>0</v>
      </c>
      <c r="L260" s="163" t="str">
        <f>IFERROR(VLOOKUP(D260,Transco!B:E,4,FALSE),"")</f>
        <v/>
      </c>
      <c r="M260" s="7" t="str">
        <f>IFERROR(VLOOKUP(J260,Transco!B:E,4,FALSE),"")</f>
        <v/>
      </c>
      <c r="N260" s="7" t="str">
        <f>IFERROR(VLOOKUP(K260,Transco!B:E,4,FALSE),"")</f>
        <v/>
      </c>
      <c r="O260" s="85" t="s">
        <v>3093</v>
      </c>
      <c r="P260" s="7" t="str">
        <f>INDEX(Calculs,$E$2,208)</f>
        <v>Compte de résultat: Achats de marchandises (y compris droits de douane) Année N-1</v>
      </c>
    </row>
    <row r="261" spans="2:16" x14ac:dyDescent="0.2">
      <c r="B261" s="39" t="s">
        <v>1739</v>
      </c>
      <c r="C261" s="40"/>
      <c r="D261" s="41" t="s">
        <v>657</v>
      </c>
      <c r="E261" s="40" t="str">
        <f>INDEX(Calculs,$E$2,265)</f>
        <v>Compte de résultat: Salaires et traitements Année N</v>
      </c>
      <c r="F261" s="57" t="str">
        <f>INDEX(Calculs,$E$2,265)</f>
        <v>Compte de résultat: Salaires et traitements Année N</v>
      </c>
      <c r="G261" s="57" t="str">
        <f>INDEX(Calculs,$E$2,266)</f>
        <v>Compte de résultat: Salaires et traitements Année N-1</v>
      </c>
      <c r="I261" s="7" t="str">
        <f t="shared" si="16"/>
        <v>FY</v>
      </c>
      <c r="J261" s="7" t="str">
        <f t="shared" si="14"/>
        <v>FY</v>
      </c>
      <c r="K261" s="7" t="str">
        <f>D261&amp;"(N1)"</f>
        <v>FY(N1)</v>
      </c>
      <c r="L261" s="163" t="str">
        <f>IFERROR(VLOOKUP(D261,Transco!B:E,4,FALSE),"")</f>
        <v>=INDEX(Liste;$E$2;265)</v>
      </c>
      <c r="M261" s="7" t="str">
        <f>IFERROR(VLOOKUP(J261,Transco!B:E,4,FALSE),"")</f>
        <v>=INDEX(Liste;$E$2;265)</v>
      </c>
      <c r="N261" s="7" t="str">
        <f>IFERROR(VLOOKUP(K261,Transco!B:E,4,FALSE),"")</f>
        <v>=INDEX(Liste;$E$2;266)</v>
      </c>
      <c r="O261" s="85" t="s">
        <v>3094</v>
      </c>
      <c r="P261" s="7" t="str">
        <f>INDEX(Calculs,$E$2,209)</f>
        <v>Compte de résultat: Achats de matiéres premiéres et autres approvisionnements Année N</v>
      </c>
    </row>
    <row r="262" spans="2:16" x14ac:dyDescent="0.2">
      <c r="B262" s="39" t="s">
        <v>1740</v>
      </c>
      <c r="C262" s="40"/>
      <c r="D262" s="41" t="s">
        <v>615</v>
      </c>
      <c r="E262" s="40" t="str">
        <f>INDEX(Calculs,$E$2,223)</f>
        <v>Compte de résultat: Charges sociales Année N</v>
      </c>
      <c r="F262" s="57" t="str">
        <f>INDEX(Calculs,$E$2,223)</f>
        <v>Compte de résultat: Charges sociales Année N</v>
      </c>
      <c r="G262" s="57" t="str">
        <f>INDEX(Calculs,$E$2,224)</f>
        <v>Compte de résultat: Charges sociales Année N-1</v>
      </c>
      <c r="I262" s="7" t="str">
        <f t="shared" si="16"/>
        <v>FZ</v>
      </c>
      <c r="J262" s="7" t="str">
        <f t="shared" si="14"/>
        <v>FZ</v>
      </c>
      <c r="K262" s="7" t="str">
        <f>D262&amp;"(N1)"</f>
        <v>FZ(N1)</v>
      </c>
      <c r="L262" s="163" t="str">
        <f>IFERROR(VLOOKUP(D262,Transco!B:E,4,FALSE),"")</f>
        <v>=INDEX(Liste;$E$2;223)</v>
      </c>
      <c r="M262" s="7" t="str">
        <f>IFERROR(VLOOKUP(J262,Transco!B:E,4,FALSE),"")</f>
        <v>=INDEX(Liste;$E$2;223)</v>
      </c>
      <c r="N262" s="7" t="str">
        <f>IFERROR(VLOOKUP(K262,Transco!B:E,4,FALSE),"")</f>
        <v>=INDEX(Liste;$E$2;224)</v>
      </c>
      <c r="O262" s="85" t="s">
        <v>3095</v>
      </c>
      <c r="P262" s="7" t="str">
        <f>INDEX(Calculs,$E$2,210)</f>
        <v>Compte de résultat: Achats de matiéres premiéres et autres approvisionnements Année N-1</v>
      </c>
    </row>
    <row r="263" spans="2:16" x14ac:dyDescent="0.2">
      <c r="I263" s="7">
        <f t="shared" si="16"/>
        <v>0</v>
      </c>
      <c r="J263" s="7">
        <f t="shared" si="14"/>
        <v>0</v>
      </c>
      <c r="L263" s="163" t="str">
        <f>IFERROR(VLOOKUP(D263,Transco!B:E,4,FALSE),"")</f>
        <v/>
      </c>
      <c r="M263" s="7" t="str">
        <f>IFERROR(VLOOKUP(J263,Transco!B:E,4,FALSE),"")</f>
        <v/>
      </c>
      <c r="N263" s="7" t="str">
        <f>IFERROR(VLOOKUP(K263,Transco!B:E,4,FALSE),"")</f>
        <v/>
      </c>
      <c r="O263" s="85" t="s">
        <v>3096</v>
      </c>
      <c r="P263" s="7" t="str">
        <f>INDEX(Calculs,$E$2,211)</f>
        <v>Compte de résultat: Autres achats et charges externes Année N</v>
      </c>
    </row>
    <row r="264" spans="2:16" x14ac:dyDescent="0.2">
      <c r="B264" s="105" t="s">
        <v>1600</v>
      </c>
      <c r="C264" s="105"/>
      <c r="D264" s="106"/>
      <c r="F264" s="141"/>
      <c r="I264" s="7">
        <f t="shared" si="16"/>
        <v>0</v>
      </c>
      <c r="J264" s="7">
        <f t="shared" si="14"/>
        <v>0</v>
      </c>
      <c r="L264" s="163" t="str">
        <f>IFERROR(VLOOKUP(D264,Transco!B:E,4,FALSE),"")</f>
        <v/>
      </c>
      <c r="M264" s="7" t="str">
        <f>IFERROR(VLOOKUP(J264,Transco!B:E,4,FALSE),"")</f>
        <v/>
      </c>
      <c r="N264" s="7" t="str">
        <f>IFERROR(VLOOKUP(K264,Transco!B:E,4,FALSE),"")</f>
        <v/>
      </c>
      <c r="O264" s="85" t="s">
        <v>3097</v>
      </c>
      <c r="P264" s="7" t="str">
        <f>INDEX(Calculs,$E$2,212)</f>
        <v>Compte de résultat: Autres achats et charges externes Année N-1</v>
      </c>
    </row>
    <row r="265" spans="2:16" x14ac:dyDescent="0.2">
      <c r="B265" s="39" t="s">
        <v>1741</v>
      </c>
      <c r="C265" s="40"/>
      <c r="D265" s="41" t="s">
        <v>621</v>
      </c>
      <c r="E265" s="40" t="str">
        <f>INDEX(Calculs,$E$2,229)</f>
        <v>Compte de résultat: Dot. d'exploit. - Dotations aux amortissements Année N</v>
      </c>
      <c r="F265" s="57" t="str">
        <f>INDEX(Calculs,$E$2,229)</f>
        <v>Compte de résultat: Dot. d'exploit. - Dotations aux amortissements Année N</v>
      </c>
      <c r="G265" s="57" t="str">
        <f>INDEX(Calculs,$E$2,230)</f>
        <v>Compte de résultat: Dot. d'exploit. - Dotations aux amortissements Année N-1</v>
      </c>
      <c r="I265" s="7" t="str">
        <f t="shared" si="16"/>
        <v>GA</v>
      </c>
      <c r="J265" s="7" t="str">
        <f t="shared" si="14"/>
        <v>GA</v>
      </c>
      <c r="K265" s="7" t="str">
        <f>D265&amp;"(N1)"</f>
        <v>GA(N1)</v>
      </c>
      <c r="L265" s="163" t="str">
        <f>IFERROR(VLOOKUP(D265,Transco!B:E,4,FALSE),"")</f>
        <v>=INDEX(Liste;$E$2;229)</v>
      </c>
      <c r="M265" s="7" t="str">
        <f>IFERROR(VLOOKUP(J265,Transco!B:E,4,FALSE),"")</f>
        <v>=INDEX(Liste;$E$2;229)</v>
      </c>
      <c r="N265" s="7" t="str">
        <f>IFERROR(VLOOKUP(K265,Transco!B:E,4,FALSE),"")</f>
        <v>=INDEX(Liste;$E$2;230)</v>
      </c>
      <c r="O265" s="85" t="s">
        <v>3098</v>
      </c>
      <c r="P265" s="7" t="str">
        <f>INDEX(Calculs,$E$2,213)</f>
        <v>Compte de résultat: Autres charges Année N</v>
      </c>
    </row>
    <row r="266" spans="2:16" x14ac:dyDescent="0.2">
      <c r="B266" s="39" t="s">
        <v>1742</v>
      </c>
      <c r="C266" s="40"/>
      <c r="D266" s="41" t="s">
        <v>623</v>
      </c>
      <c r="E266" s="40" t="str">
        <f>INDEX(Calculs,$E$2,231)</f>
        <v>Compte de résultat: Dot. d'exploit. - Dotations aux provisions Année N</v>
      </c>
      <c r="F266" s="57" t="str">
        <f>INDEX(Calculs,$E$2,231)</f>
        <v>Compte de résultat: Dot. d'exploit. - Dotations aux provisions Année N</v>
      </c>
      <c r="G266" s="57" t="str">
        <f>INDEX(Calculs,$E$2,232)</f>
        <v>Compte de résultat: Dot. d'exploit. - Dotations aux provisions Année N-1</v>
      </c>
      <c r="I266" s="7" t="str">
        <f t="shared" si="16"/>
        <v>GB</v>
      </c>
      <c r="J266" s="7" t="str">
        <f t="shared" si="14"/>
        <v>GB</v>
      </c>
      <c r="K266" s="7" t="str">
        <f>D266&amp;"(N1)"</f>
        <v>GB(N1)</v>
      </c>
      <c r="L266" s="163" t="str">
        <f>IFERROR(VLOOKUP(D266,Transco!B:E,4,FALSE),"")</f>
        <v>=INDEX(Liste;$E$2;231)</v>
      </c>
      <c r="M266" s="7" t="str">
        <f>IFERROR(VLOOKUP(J266,Transco!B:E,4,FALSE),"")</f>
        <v>=INDEX(Liste;$E$2;231)</v>
      </c>
      <c r="N266" s="7" t="str">
        <f>IFERROR(VLOOKUP(K266,Transco!B:E,4,FALSE),"")</f>
        <v>=INDEX(Liste;$E$2;232)</v>
      </c>
      <c r="O266" s="85" t="s">
        <v>3099</v>
      </c>
      <c r="P266" s="7" t="str">
        <f>INDEX(Calculs,$E$2,214)</f>
        <v>Compte de résultat: Autres charges Année N-1</v>
      </c>
    </row>
    <row r="267" spans="2:16" x14ac:dyDescent="0.2">
      <c r="B267" s="39" t="s">
        <v>1743</v>
      </c>
      <c r="C267" s="40"/>
      <c r="D267" s="41" t="s">
        <v>627</v>
      </c>
      <c r="E267" s="40" t="str">
        <f>INDEX(Calculs,$E$2,235)</f>
        <v>Compte de résultat: Dot. d'exploit. Sur actif circulant : dotations aux provisions Année N</v>
      </c>
      <c r="F267" s="57" t="str">
        <f>INDEX(Calculs,$E$2,235)</f>
        <v>Compte de résultat: Dot. d'exploit. Sur actif circulant : dotations aux provisions Année N</v>
      </c>
      <c r="G267" s="57" t="str">
        <f>INDEX(Calculs,$E$2,236)</f>
        <v>Compte de résultat: Dot. d'exploit. Sur actif circulant : dotations aux provisions Année N-1</v>
      </c>
      <c r="I267" s="7" t="str">
        <f t="shared" si="16"/>
        <v>GC</v>
      </c>
      <c r="J267" s="7" t="str">
        <f t="shared" si="14"/>
        <v>GC</v>
      </c>
      <c r="K267" s="7" t="str">
        <f>D267&amp;"(N1)"</f>
        <v>GC(N1)</v>
      </c>
      <c r="L267" s="163" t="str">
        <f>IFERROR(VLOOKUP(D267,Transco!B:E,4,FALSE),"")</f>
        <v>=INDEX(Liste;$E$2;235)</v>
      </c>
      <c r="M267" s="7" t="str">
        <f>IFERROR(VLOOKUP(J267,Transco!B:E,4,FALSE),"")</f>
        <v>=INDEX(Liste;$E$2;235)</v>
      </c>
      <c r="N267" s="7" t="str">
        <f>IFERROR(VLOOKUP(K267,Transco!B:E,4,FALSE),"")</f>
        <v>=INDEX(Liste;$E$2;236)</v>
      </c>
      <c r="O267" s="85" t="s">
        <v>3100</v>
      </c>
      <c r="P267" s="7" t="str">
        <f>INDEX(Calculs,$E$2,215)</f>
        <v>Compte de résultat: Autres intéré�ts et produits assimilés Année N</v>
      </c>
    </row>
    <row r="268" spans="2:16" x14ac:dyDescent="0.2">
      <c r="B268" s="39" t="s">
        <v>1744</v>
      </c>
      <c r="C268" s="40"/>
      <c r="D268" s="41" t="s">
        <v>625</v>
      </c>
      <c r="E268" s="40" t="str">
        <f>INDEX(Calculs,$E$2,233)</f>
        <v>Compte de résultat: Dot. d'exploit. Pour risques et charges : dotations aux provisions Année N</v>
      </c>
      <c r="F268" s="57" t="str">
        <f>INDEX(Calculs,$E$2,233)</f>
        <v>Compte de résultat: Dot. d'exploit. Pour risques et charges : dotations aux provisions Année N</v>
      </c>
      <c r="G268" s="57" t="str">
        <f>INDEX(Calculs,$E$2,234)</f>
        <v>Compte de résultat: Dot. d'exploit. Pour risques et charges : dotations aux provisions Année N-1</v>
      </c>
      <c r="I268" s="7" t="str">
        <f t="shared" si="16"/>
        <v>GD</v>
      </c>
      <c r="J268" s="7" t="str">
        <f t="shared" si="14"/>
        <v>GD</v>
      </c>
      <c r="K268" s="7" t="str">
        <f>D268&amp;"(N1)"</f>
        <v>GD(N1)</v>
      </c>
      <c r="L268" s="163" t="str">
        <f>IFERROR(VLOOKUP(D268,Transco!B:E,4,FALSE),"")</f>
        <v>=INDEX(Liste;$E$2;233)</v>
      </c>
      <c r="M268" s="7" t="str">
        <f>IFERROR(VLOOKUP(J268,Transco!B:E,4,FALSE),"")</f>
        <v>=INDEX(Liste;$E$2;233)</v>
      </c>
      <c r="N268" s="7" t="str">
        <f>IFERROR(VLOOKUP(K268,Transco!B:E,4,FALSE),"")</f>
        <v>=INDEX(Liste;$E$2;234)</v>
      </c>
      <c r="O268" s="85" t="s">
        <v>3101</v>
      </c>
      <c r="P268" s="7" t="str">
        <f>INDEX(Calculs,$E$2,216)</f>
        <v>Compte de résultat: Autres intéré�ts et produits assimilés Année N-1</v>
      </c>
    </row>
    <row r="269" spans="2:16" x14ac:dyDescent="0.2">
      <c r="I269" s="7">
        <f t="shared" si="16"/>
        <v>0</v>
      </c>
      <c r="J269" s="7">
        <f t="shared" si="14"/>
        <v>0</v>
      </c>
      <c r="K269" s="7" t="str">
        <f>D269&amp;"(N1)"</f>
        <v>(N1)</v>
      </c>
      <c r="L269" s="163" t="str">
        <f>IFERROR(VLOOKUP(D269,Transco!B:E,4,FALSE),"")</f>
        <v/>
      </c>
      <c r="M269" s="7" t="str">
        <f>IFERROR(VLOOKUP(J269,Transco!B:E,4,FALSE),"")</f>
        <v/>
      </c>
      <c r="N269" s="7" t="str">
        <f>IFERROR(VLOOKUP(K269,Transco!B:E,4,FALSE),"")</f>
        <v>=INDEX(Liste;$E$2;302)</v>
      </c>
      <c r="O269" s="85" t="s">
        <v>3102</v>
      </c>
      <c r="P269" s="7" t="str">
        <f>INDEX(Calculs,$E$2,217)</f>
        <v>Compte de résultat: Autres produits Année N</v>
      </c>
    </row>
    <row r="270" spans="2:16" x14ac:dyDescent="0.2">
      <c r="B270" s="64" t="s">
        <v>1745</v>
      </c>
      <c r="C270" s="77"/>
      <c r="D270" s="78" t="s">
        <v>605</v>
      </c>
      <c r="E270" s="77" t="str">
        <f>INDEX(Calculs,$E$2,213)</f>
        <v>Compte de résultat: Autres charges Année N</v>
      </c>
      <c r="F270" s="79" t="str">
        <f>INDEX(Calculs,$E$2,213)</f>
        <v>Compte de résultat: Autres charges Année N</v>
      </c>
      <c r="G270" s="79" t="str">
        <f>INDEX(Calculs,$E$2,214)</f>
        <v>Compte de résultat: Autres charges Année N-1</v>
      </c>
      <c r="I270" s="7" t="str">
        <f t="shared" si="16"/>
        <v>GE</v>
      </c>
      <c r="J270" s="7" t="str">
        <f t="shared" si="14"/>
        <v>GE</v>
      </c>
      <c r="L270" s="163" t="str">
        <f>IFERROR(VLOOKUP(D270,Transco!B:E,4,FALSE),"")</f>
        <v>=INDEX(Liste;$E$2;213)</v>
      </c>
      <c r="M270" s="7" t="str">
        <f>IFERROR(VLOOKUP(J270,Transco!B:E,4,FALSE),"")</f>
        <v>=INDEX(Liste;$E$2;213)</v>
      </c>
      <c r="N270" s="7" t="str">
        <f>IFERROR(VLOOKUP(K270,Transco!B:E,4,FALSE),"")</f>
        <v/>
      </c>
      <c r="O270" s="85" t="s">
        <v>3103</v>
      </c>
      <c r="P270" s="7" t="str">
        <f>INDEX(Calculs,$E$2,218)</f>
        <v>Compte de résultat: Autres produits Année N-1</v>
      </c>
    </row>
    <row r="271" spans="2:16" x14ac:dyDescent="0.2">
      <c r="I271" s="7">
        <f t="shared" si="16"/>
        <v>0</v>
      </c>
      <c r="J271" s="7">
        <f t="shared" si="14"/>
        <v>0</v>
      </c>
      <c r="K271" s="7" t="str">
        <f>D271&amp;"(N1)"</f>
        <v>(N1)</v>
      </c>
      <c r="L271" s="163" t="str">
        <f>IFERROR(VLOOKUP(D271,Transco!B:E,4,FALSE),"")</f>
        <v/>
      </c>
      <c r="M271" s="7" t="str">
        <f>IFERROR(VLOOKUP(J271,Transco!B:E,4,FALSE),"")</f>
        <v/>
      </c>
      <c r="N271" s="7" t="str">
        <f>IFERROR(VLOOKUP(K271,Transco!B:E,4,FALSE),"")</f>
        <v>=INDEX(Liste;$E$2;302)</v>
      </c>
      <c r="O271" s="85" t="s">
        <v>3104</v>
      </c>
      <c r="P271" s="7" t="str">
        <f>INDEX(Calculs,$E$2,219)</f>
        <v>Compte de résultat: Bénéfice attribué ou perte transférée (III) Année N</v>
      </c>
    </row>
    <row r="272" spans="2:16" x14ac:dyDescent="0.2">
      <c r="B272" s="111" t="s">
        <v>1746</v>
      </c>
      <c r="C272" s="112"/>
      <c r="D272" s="113" t="s">
        <v>661</v>
      </c>
      <c r="E272" s="112" t="str">
        <f>INDEX(Calculs,$E$2,269)</f>
        <v>Compte de résultat: Total des charges d'exploitation (II) Année N</v>
      </c>
      <c r="F272" s="126" t="str">
        <f>INDEX(Calculs,$E$2,269)</f>
        <v>Compte de résultat: Total des charges d'exploitation (II) Année N</v>
      </c>
      <c r="G272" s="126" t="str">
        <f>INDEX(Calculs,$E$2,270)</f>
        <v>Compte de résultat: Total des charges d'exploitation (II) Année N-1</v>
      </c>
      <c r="I272" s="7" t="str">
        <f t="shared" si="16"/>
        <v>GF</v>
      </c>
      <c r="J272" s="7" t="str">
        <f t="shared" si="14"/>
        <v>GF</v>
      </c>
      <c r="K272" s="7" t="str">
        <f>D272&amp;"(N1)"</f>
        <v>GF(N1)</v>
      </c>
      <c r="L272" s="163" t="str">
        <f>IFERROR(VLOOKUP(D272,Transco!B:E,4,FALSE),"")</f>
        <v>=INDEX(Liste;$E$2;269)</v>
      </c>
      <c r="M272" s="7" t="str">
        <f>IFERROR(VLOOKUP(J272,Transco!B:E,4,FALSE),"")</f>
        <v>=INDEX(Liste;$E$2;269)</v>
      </c>
      <c r="N272" s="7" t="str">
        <f>IFERROR(VLOOKUP(K272,Transco!B:E,4,FALSE),"")</f>
        <v>=INDEX(Liste;$E$2;270)</v>
      </c>
      <c r="O272" s="85" t="s">
        <v>3105</v>
      </c>
      <c r="P272" s="7" t="str">
        <f>INDEX(Calculs,$E$2,220)</f>
        <v>Compte de résultat: Bénéfice attribué ou perte transférée (III) Année N-1</v>
      </c>
    </row>
    <row r="273" spans="2:16" x14ac:dyDescent="0.2">
      <c r="I273" s="7">
        <f t="shared" si="16"/>
        <v>0</v>
      </c>
      <c r="J273" s="7">
        <f t="shared" si="14"/>
        <v>0</v>
      </c>
      <c r="L273" s="163" t="str">
        <f>IFERROR(VLOOKUP(D273,Transco!B:E,4,FALSE),"")</f>
        <v/>
      </c>
      <c r="M273" s="7" t="str">
        <f>IFERROR(VLOOKUP(J273,Transco!B:E,4,FALSE),"")</f>
        <v/>
      </c>
      <c r="N273" s="7" t="str">
        <f>IFERROR(VLOOKUP(K273,Transco!B:E,4,FALSE),"")</f>
        <v/>
      </c>
      <c r="O273" s="85" t="s">
        <v>3106</v>
      </c>
      <c r="P273" s="7" t="str">
        <f>INDEX(Calculs,$E$2,221)</f>
        <v>Compte de résultat: Charges nettes sur cessions de valeurs mobiliéres de placement Année N</v>
      </c>
    </row>
    <row r="274" spans="2:16" ht="13.5" thickBot="1" x14ac:dyDescent="0.25">
      <c r="B274" s="111" t="s">
        <v>1747</v>
      </c>
      <c r="C274" s="112"/>
      <c r="D274" s="113" t="s">
        <v>649</v>
      </c>
      <c r="E274" s="112" t="str">
        <f>INDEX(Calculs,$E$2,257)</f>
        <v>Compte de résultat: RESULTAT d'EXPLOITATION (I - II) Année N</v>
      </c>
      <c r="F274" s="126" t="str">
        <f>INDEX(Calculs,$E$2,257)</f>
        <v>Compte de résultat: RESULTAT d'EXPLOITATION (I - II) Année N</v>
      </c>
      <c r="G274" s="126" t="str">
        <f>INDEX(Calculs,$E$2,258)</f>
        <v>Compte de résultat: RESULTAT d'EXPLOITATION (I - II) Année N-1</v>
      </c>
      <c r="I274" s="7" t="str">
        <f t="shared" si="16"/>
        <v>GG</v>
      </c>
      <c r="J274" s="7" t="str">
        <f t="shared" si="14"/>
        <v>GG</v>
      </c>
      <c r="K274" s="7" t="str">
        <f>D274&amp;"(N1)"</f>
        <v>GG(N1)</v>
      </c>
      <c r="L274" s="163" t="str">
        <f>IFERROR(VLOOKUP(D274,Transco!B:E,4,FALSE),"")</f>
        <v>=INDEX(Liste;$E$2;257)</v>
      </c>
      <c r="M274" s="7" t="str">
        <f>IFERROR(VLOOKUP(J274,Transco!B:E,4,FALSE),"")</f>
        <v>=INDEX(Liste;$E$2;257)</v>
      </c>
      <c r="N274" s="7" t="str">
        <f>IFERROR(VLOOKUP(K274,Transco!B:E,4,FALSE),"")</f>
        <v>=INDEX(Liste;$E$2;258)</v>
      </c>
      <c r="O274" s="85" t="s">
        <v>3107</v>
      </c>
      <c r="P274" s="7" t="str">
        <f>INDEX(Calculs,$E$2,222)</f>
        <v>Compte de résultat: Charges nettes sur cessions de valeurs mobiliéres de placement Année N-1</v>
      </c>
    </row>
    <row r="275" spans="2:16" x14ac:dyDescent="0.2">
      <c r="B275" s="59"/>
      <c r="C275" s="59"/>
      <c r="D275" s="59"/>
      <c r="E275" s="60"/>
      <c r="F275" s="72"/>
      <c r="G275" s="72" t="str">
        <f>INDEX(Calculs,$E$2,302)</f>
        <v>Passif (bilan):Autres Année N-1</v>
      </c>
      <c r="I275" s="7">
        <f t="shared" si="16"/>
        <v>0</v>
      </c>
      <c r="J275" s="7">
        <f t="shared" si="14"/>
        <v>0</v>
      </c>
      <c r="L275" s="163" t="str">
        <f>IFERROR(VLOOKUP(D275,Transco!B:E,4,FALSE),"")</f>
        <v/>
      </c>
      <c r="M275" s="7" t="str">
        <f>IFERROR(VLOOKUP(J275,Transco!B:E,4,FALSE),"")</f>
        <v/>
      </c>
      <c r="N275" s="7" t="str">
        <f>IFERROR(VLOOKUP(K275,Transco!B:E,4,FALSE),"")</f>
        <v/>
      </c>
      <c r="O275" s="85" t="s">
        <v>3108</v>
      </c>
      <c r="P275" s="7" t="str">
        <f>INDEX(Calculs,$E$2,223)</f>
        <v>Compte de résultat: Charges sociales Année N</v>
      </c>
    </row>
    <row r="276" spans="2:16" x14ac:dyDescent="0.2">
      <c r="I276" s="7">
        <f t="shared" si="16"/>
        <v>0</v>
      </c>
      <c r="J276" s="7">
        <f t="shared" si="14"/>
        <v>0</v>
      </c>
      <c r="L276" s="163" t="str">
        <f>IFERROR(VLOOKUP(D276,Transco!B:E,4,FALSE),"")</f>
        <v/>
      </c>
      <c r="M276" s="7" t="str">
        <f>IFERROR(VLOOKUP(J276,Transco!B:E,4,FALSE),"")</f>
        <v/>
      </c>
      <c r="N276" s="7" t="str">
        <f>IFERROR(VLOOKUP(K276,Transco!B:E,4,FALSE),"")</f>
        <v/>
      </c>
      <c r="O276" s="85" t="s">
        <v>3109</v>
      </c>
      <c r="P276" s="7" t="str">
        <f>INDEX(Calculs,$E$2,224)</f>
        <v>Compte de résultat: Charges sociales Année N-1</v>
      </c>
    </row>
    <row r="277" spans="2:16" x14ac:dyDescent="0.2">
      <c r="B277" s="105" t="s">
        <v>1748</v>
      </c>
      <c r="C277" s="105"/>
      <c r="D277" s="106"/>
      <c r="E277" s="106"/>
      <c r="I277" s="7">
        <f t="shared" si="16"/>
        <v>0</v>
      </c>
      <c r="J277" s="7">
        <f t="shared" si="14"/>
        <v>0</v>
      </c>
      <c r="L277" s="163" t="str">
        <f>IFERROR(VLOOKUP(D277,Transco!B:E,4,FALSE),"")</f>
        <v/>
      </c>
      <c r="M277" s="7" t="str">
        <f>IFERROR(VLOOKUP(J277,Transco!B:E,4,FALSE),"")</f>
        <v/>
      </c>
      <c r="N277" s="7" t="str">
        <f>IFERROR(VLOOKUP(K277,Transco!B:E,4,FALSE),"")</f>
        <v/>
      </c>
      <c r="O277" s="85" t="s">
        <v>3110</v>
      </c>
      <c r="P277" s="7" t="str">
        <f>INDEX(Calculs,$E$2,225)</f>
        <v>Compte de résultat: Différences négatives de change Année N</v>
      </c>
    </row>
    <row r="278" spans="2:16" x14ac:dyDescent="0.2">
      <c r="B278" s="39" t="s">
        <v>1749</v>
      </c>
      <c r="C278" s="40"/>
      <c r="D278" s="41" t="s">
        <v>611</v>
      </c>
      <c r="E278" s="40" t="str">
        <f>INDEX(Calculs,$E$2,219)</f>
        <v>Compte de résultat: Bénéfice attribué ou perte transférée (III) Année N</v>
      </c>
      <c r="F278" s="57" t="str">
        <f>INDEX(Calculs,$E$2,219)</f>
        <v>Compte de résultat: Bénéfice attribué ou perte transférée (III) Année N</v>
      </c>
      <c r="G278" s="57" t="str">
        <f>INDEX(Calculs,$E$2,220)</f>
        <v>Compte de résultat: Bénéfice attribué ou perte transférée (III) Année N-1</v>
      </c>
      <c r="I278" s="7" t="str">
        <f t="shared" si="16"/>
        <v>GH</v>
      </c>
      <c r="J278" s="7" t="str">
        <f t="shared" si="14"/>
        <v>GH</v>
      </c>
      <c r="K278" s="7" t="str">
        <f t="shared" ref="K278:K285" si="18">D278&amp;"(N1)"</f>
        <v>GH(N1)</v>
      </c>
      <c r="L278" s="163" t="str">
        <f>IFERROR(VLOOKUP(D278,Transco!B:E,4,FALSE),"")</f>
        <v>=INDEX(Liste;$E$2;219)</v>
      </c>
      <c r="M278" s="7" t="str">
        <f>IFERROR(VLOOKUP(J278,Transco!B:E,4,FALSE),"")</f>
        <v>=INDEX(Liste;$E$2;219)</v>
      </c>
      <c r="N278" s="7" t="str">
        <f>IFERROR(VLOOKUP(K278,Transco!B:E,4,FALSE),"")</f>
        <v>=INDEX(Liste;$E$2;220)</v>
      </c>
      <c r="O278" s="85" t="s">
        <v>3111</v>
      </c>
      <c r="P278" s="7" t="str">
        <f>INDEX(Calculs,$E$2,226)</f>
        <v>Compte de résultat: Différences négatives de change Année N-1</v>
      </c>
    </row>
    <row r="279" spans="2:16" x14ac:dyDescent="0.2">
      <c r="B279" s="39" t="s">
        <v>1750</v>
      </c>
      <c r="C279" s="40"/>
      <c r="D279" s="41" t="s">
        <v>635</v>
      </c>
      <c r="E279" s="40" t="str">
        <f>INDEX(Calculs,$E$2,243)</f>
        <v>Compte de résultat: Perte supportée ou bénéfice transféré (IV) Année N</v>
      </c>
      <c r="F279" s="57" t="str">
        <f>INDEX(Calculs,$E$2,243)</f>
        <v>Compte de résultat: Perte supportée ou bénéfice transféré (IV) Année N</v>
      </c>
      <c r="G279" s="57" t="str">
        <f>INDEX(Calculs,$E$2,244)</f>
        <v>Compte de résultat: Perte supportée ou bénéfice transféré (IV) Année N-1</v>
      </c>
      <c r="I279" s="7" t="str">
        <f t="shared" si="16"/>
        <v>GI</v>
      </c>
      <c r="J279" s="7" t="str">
        <f t="shared" si="14"/>
        <v>GI</v>
      </c>
      <c r="K279" s="7" t="str">
        <f t="shared" si="18"/>
        <v>GI(N1)</v>
      </c>
      <c r="L279" s="163" t="str">
        <f>IFERROR(VLOOKUP(D279,Transco!B:E,4,FALSE),"")</f>
        <v>=INDEX(Liste;$E$2;243)</v>
      </c>
      <c r="M279" s="7" t="str">
        <f>IFERROR(VLOOKUP(J279,Transco!B:E,4,FALSE),"")</f>
        <v>=INDEX(Liste;$E$2;243)</v>
      </c>
      <c r="N279" s="7" t="str">
        <f>IFERROR(VLOOKUP(K279,Transco!B:E,4,FALSE),"")</f>
        <v>=INDEX(Liste;$E$2;244)</v>
      </c>
      <c r="O279" s="85" t="s">
        <v>3112</v>
      </c>
      <c r="P279" s="7" t="str">
        <f>INDEX(Calculs,$E$2,227)</f>
        <v>Compte de résultat: Différences positives de change Année N</v>
      </c>
    </row>
    <row r="280" spans="2:16" x14ac:dyDescent="0.2">
      <c r="B280" s="39" t="s">
        <v>1751</v>
      </c>
      <c r="C280" s="40"/>
      <c r="D280" s="41" t="s">
        <v>643</v>
      </c>
      <c r="E280" s="40" t="str">
        <f>INDEX(Calculs,$E$2,251)</f>
        <v>Compte de résultat: Produits financiers de participations Année N</v>
      </c>
      <c r="F280" s="57" t="str">
        <f>INDEX(Calculs,$E$2,251)</f>
        <v>Compte de résultat: Produits financiers de participations Année N</v>
      </c>
      <c r="G280" s="57" t="str">
        <f>INDEX(Calculs,$E$2,252)</f>
        <v>Compte de résultat: Produits financiers de participations Année N-1</v>
      </c>
      <c r="I280" s="7" t="str">
        <f t="shared" si="16"/>
        <v>GJ</v>
      </c>
      <c r="J280" s="7" t="str">
        <f t="shared" si="14"/>
        <v>GJ</v>
      </c>
      <c r="K280" s="7" t="str">
        <f t="shared" si="18"/>
        <v>GJ(N1)</v>
      </c>
      <c r="L280" s="163" t="str">
        <f>IFERROR(VLOOKUP(D280,Transco!B:E,4,FALSE),"")</f>
        <v>=INDEX(Liste;$E$2;251)</v>
      </c>
      <c r="M280" s="7" t="str">
        <f>IFERROR(VLOOKUP(J280,Transco!B:E,4,FALSE),"")</f>
        <v>=INDEX(Liste;$E$2;251)</v>
      </c>
      <c r="N280" s="7" t="str">
        <f>IFERROR(VLOOKUP(K280,Transco!B:E,4,FALSE),"")</f>
        <v>=INDEX(Liste;$E$2;252)</v>
      </c>
      <c r="O280" s="85" t="s">
        <v>3113</v>
      </c>
      <c r="P280" s="7" t="str">
        <f>INDEX(Calculs,$E$2,228)</f>
        <v>Compte de résultat: Différences positives de change Année N-1</v>
      </c>
    </row>
    <row r="281" spans="2:16" x14ac:dyDescent="0.2">
      <c r="B281" s="39" t="s">
        <v>1752</v>
      </c>
      <c r="C281" s="40"/>
      <c r="D281" s="41" t="s">
        <v>641</v>
      </c>
      <c r="E281" s="40" t="str">
        <f>INDEX(Calculs,$E$2,249)</f>
        <v>Compte de résultat: Produits des autres valeurs mobiliéres et créances de l� actif immobilisé Année N</v>
      </c>
      <c r="F281" s="57" t="str">
        <f>INDEX(Calculs,$E$2,249)</f>
        <v>Compte de résultat: Produits des autres valeurs mobiliéres et créances de l� actif immobilisé Année N</v>
      </c>
      <c r="G281" s="57" t="str">
        <f>INDEX(Calculs,$E$2,250)</f>
        <v>Compte de résultat: Produits des autres valeurs mobiliéres et créances de l� actif immobilisé Année N-1</v>
      </c>
      <c r="I281" s="7" t="str">
        <f t="shared" si="16"/>
        <v>GK</v>
      </c>
      <c r="J281" s="7" t="str">
        <f t="shared" ref="J281:J335" si="19">D281</f>
        <v>GK</v>
      </c>
      <c r="K281" s="7" t="str">
        <f t="shared" si="18"/>
        <v>GK(N1)</v>
      </c>
      <c r="L281" s="163" t="str">
        <f>IFERROR(VLOOKUP(D281,Transco!B:E,4,FALSE),"")</f>
        <v>=INDEX(Liste;$E$2;249)</v>
      </c>
      <c r="M281" s="7" t="str">
        <f>IFERROR(VLOOKUP(J281,Transco!B:E,4,FALSE),"")</f>
        <v>=INDEX(Liste;$E$2;249)</v>
      </c>
      <c r="N281" s="7" t="str">
        <f>IFERROR(VLOOKUP(K281,Transco!B:E,4,FALSE),"")</f>
        <v>=INDEX(Liste;$E$2;250)</v>
      </c>
      <c r="O281" s="85" t="s">
        <v>3114</v>
      </c>
      <c r="P281" s="7" t="str">
        <f>INDEX(Calculs,$E$2,229)</f>
        <v>Compte de résultat: Dot. d'exploit. - Dotations aux amortissements Année N</v>
      </c>
    </row>
    <row r="282" spans="2:16" x14ac:dyDescent="0.2">
      <c r="B282" s="39" t="s">
        <v>1753</v>
      </c>
      <c r="C282" s="40"/>
      <c r="D282" s="41" t="s">
        <v>607</v>
      </c>
      <c r="E282" s="40" t="str">
        <f>INDEX(Calculs,$E$2,215)</f>
        <v>Compte de résultat: Autres intéré�ts et produits assimilés Année N</v>
      </c>
      <c r="F282" s="57" t="str">
        <f>INDEX(Calculs,$E$2,215)</f>
        <v>Compte de résultat: Autres intéré�ts et produits assimilés Année N</v>
      </c>
      <c r="G282" s="57" t="str">
        <f>INDEX(Calculs,$E$2,216)</f>
        <v>Compte de résultat: Autres intéré�ts et produits assimilés Année N-1</v>
      </c>
      <c r="I282" s="7" t="str">
        <f t="shared" si="16"/>
        <v>GL</v>
      </c>
      <c r="J282" s="7" t="str">
        <f t="shared" si="19"/>
        <v>GL</v>
      </c>
      <c r="K282" s="7" t="str">
        <f t="shared" si="18"/>
        <v>GL(N1)</v>
      </c>
      <c r="L282" s="163" t="str">
        <f>IFERROR(VLOOKUP(D282,Transco!B:E,4,FALSE),"")</f>
        <v>=INDEX(Liste;$E$2;215)</v>
      </c>
      <c r="M282" s="7" t="str">
        <f>IFERROR(VLOOKUP(J282,Transco!B:E,4,FALSE),"")</f>
        <v>=INDEX(Liste;$E$2;215)</v>
      </c>
      <c r="N282" s="7" t="str">
        <f>IFERROR(VLOOKUP(K282,Transco!B:E,4,FALSE),"")</f>
        <v>=INDEX(Liste;$E$2;216)</v>
      </c>
      <c r="O282" s="85" t="s">
        <v>3115</v>
      </c>
      <c r="P282" s="7" t="str">
        <f>INDEX(Calculs,$E$2,230)</f>
        <v>Compte de résultat: Dot. d'exploit. - Dotations aux amortissements Année N-1</v>
      </c>
    </row>
    <row r="283" spans="2:16" x14ac:dyDescent="0.2">
      <c r="B283" s="39" t="s">
        <v>1754</v>
      </c>
      <c r="C283" s="40"/>
      <c r="D283" s="41" t="s">
        <v>585</v>
      </c>
      <c r="E283" s="40" t="str">
        <f>INDEX(Calculs,$E$2,193)</f>
        <v>Compte de résultat (suite):Reprises sur provisions et transferts de charges Année N</v>
      </c>
      <c r="F283" s="57" t="str">
        <f>INDEX(Calculs,$E$2,193)</f>
        <v>Compte de résultat (suite):Reprises sur provisions et transferts de charges Année N</v>
      </c>
      <c r="G283" s="57" t="str">
        <f>INDEX(Calculs,$E$2,194)</f>
        <v>Compte de résultat (suite):Reprises sur provisions et transferts de charges Année N-1</v>
      </c>
      <c r="I283" s="7" t="str">
        <f t="shared" si="16"/>
        <v>GM</v>
      </c>
      <c r="J283" s="7" t="str">
        <f t="shared" si="19"/>
        <v>GM</v>
      </c>
      <c r="K283" s="7" t="str">
        <f t="shared" si="18"/>
        <v>GM(N1)</v>
      </c>
      <c r="L283" s="163" t="str">
        <f>IFERROR(VLOOKUP(D283,Transco!B:E,4,FALSE),"")</f>
        <v>=INDEX(Liste;$E$2;193)</v>
      </c>
      <c r="M283" s="7" t="str">
        <f>IFERROR(VLOOKUP(J283,Transco!B:E,4,FALSE),"")</f>
        <v>=INDEX(Liste;$E$2;193)</v>
      </c>
      <c r="N283" s="7" t="str">
        <f>IFERROR(VLOOKUP(K283,Transco!B:E,4,FALSE),"")</f>
        <v>=INDEX(Liste;$E$2;194)</v>
      </c>
      <c r="O283" s="85" t="s">
        <v>3116</v>
      </c>
      <c r="P283" s="7" t="str">
        <f>INDEX(Calculs,$E$2,231)</f>
        <v>Compte de résultat: Dot. d'exploit. - Dotations aux provisions Année N</v>
      </c>
    </row>
    <row r="284" spans="2:16" x14ac:dyDescent="0.2">
      <c r="B284" s="39" t="s">
        <v>1755</v>
      </c>
      <c r="C284" s="40"/>
      <c r="D284" s="41" t="s">
        <v>619</v>
      </c>
      <c r="E284" s="40" t="str">
        <f>INDEX(Calculs,$E$2,227)</f>
        <v>Compte de résultat: Différences positives de change Année N</v>
      </c>
      <c r="F284" s="57" t="str">
        <f>INDEX(Calculs,$E$2,227)</f>
        <v>Compte de résultat: Différences positives de change Année N</v>
      </c>
      <c r="G284" s="57" t="str">
        <f>INDEX(Calculs,$E$2,228)</f>
        <v>Compte de résultat: Différences positives de change Année N-1</v>
      </c>
      <c r="I284" s="7" t="str">
        <f t="shared" si="16"/>
        <v>GN</v>
      </c>
      <c r="J284" s="7" t="str">
        <f t="shared" si="19"/>
        <v>GN</v>
      </c>
      <c r="K284" s="7" t="str">
        <f t="shared" si="18"/>
        <v>GN(N1)</v>
      </c>
      <c r="L284" s="163" t="str">
        <f>IFERROR(VLOOKUP(D284,Transco!B:E,4,FALSE),"")</f>
        <v>=INDEX(Liste;$E$2;227)</v>
      </c>
      <c r="M284" s="7" t="str">
        <f>IFERROR(VLOOKUP(J284,Transco!B:E,4,FALSE),"")</f>
        <v>=INDEX(Liste;$E$2;227)</v>
      </c>
      <c r="N284" s="7" t="str">
        <f>IFERROR(VLOOKUP(K284,Transco!B:E,4,FALSE),"")</f>
        <v>=INDEX(Liste;$E$2;228)</v>
      </c>
      <c r="O284" s="85" t="s">
        <v>3117</v>
      </c>
      <c r="P284" s="7" t="str">
        <f>INDEX(Calculs,$E$2,232)</f>
        <v>Compte de résultat: Dot. d'exploit. - Dotations aux provisions Année N-1</v>
      </c>
    </row>
    <row r="285" spans="2:16" x14ac:dyDescent="0.2">
      <c r="B285" s="39" t="s">
        <v>1756</v>
      </c>
      <c r="C285" s="40"/>
      <c r="D285" s="41" t="s">
        <v>645</v>
      </c>
      <c r="E285" s="40" t="str">
        <f>INDEX(Calculs,$E$2,253)</f>
        <v>Compte de résultat: Produits nets sur cessions de valeurs mobiliéres de placement Année N</v>
      </c>
      <c r="F285" s="57" t="str">
        <f>INDEX(Calculs,$E$2,253)</f>
        <v>Compte de résultat: Produits nets sur cessions de valeurs mobiliéres de placement Année N</v>
      </c>
      <c r="G285" s="57" t="str">
        <f>INDEX(Calculs,$E$2,254)</f>
        <v>Compte de résultat: Produits nets sur cessions de valeurs mobiliéres de placement Année N-1</v>
      </c>
      <c r="I285" s="7" t="str">
        <f t="shared" si="16"/>
        <v>GO</v>
      </c>
      <c r="J285" s="7" t="str">
        <f t="shared" si="19"/>
        <v>GO</v>
      </c>
      <c r="K285" s="7" t="str">
        <f t="shared" si="18"/>
        <v>GO(N1)</v>
      </c>
      <c r="L285" s="163" t="str">
        <f>IFERROR(VLOOKUP(D285,Transco!B:E,4,FALSE),"")</f>
        <v>=INDEX(Liste;$E$2;253)</v>
      </c>
      <c r="M285" s="7" t="str">
        <f>IFERROR(VLOOKUP(J285,Transco!B:E,4,FALSE),"")</f>
        <v>=INDEX(Liste;$E$2;253)</v>
      </c>
      <c r="N285" s="7" t="str">
        <f>IFERROR(VLOOKUP(K285,Transco!B:E,4,FALSE),"")</f>
        <v>=INDEX(Liste;$E$2;254)</v>
      </c>
      <c r="O285" s="85" t="s">
        <v>3118</v>
      </c>
      <c r="P285" s="7" t="str">
        <f>INDEX(Calculs,$E$2,233)</f>
        <v>Compte de résultat: Dot. d'exploit. Pour risques et charges : dotations aux provisions Année N</v>
      </c>
    </row>
    <row r="286" spans="2:16" x14ac:dyDescent="0.2">
      <c r="G286" s="70" t="str">
        <f>INDEX(Calculs,$E$2,302)</f>
        <v>Passif (bilan):Autres Année N-1</v>
      </c>
      <c r="I286" s="7">
        <f t="shared" si="16"/>
        <v>0</v>
      </c>
      <c r="J286" s="7">
        <f t="shared" si="19"/>
        <v>0</v>
      </c>
      <c r="L286" s="163" t="str">
        <f>IFERROR(VLOOKUP(D286,Transco!B:E,4,FALSE),"")</f>
        <v/>
      </c>
      <c r="M286" s="7" t="str">
        <f>IFERROR(VLOOKUP(J286,Transco!B:E,4,FALSE),"")</f>
        <v/>
      </c>
      <c r="N286" s="7" t="str">
        <f>IFERROR(VLOOKUP(K286,Transco!B:E,4,FALSE),"")</f>
        <v/>
      </c>
      <c r="O286" s="85" t="s">
        <v>280</v>
      </c>
      <c r="P286" s="7" t="str">
        <f>INDEX(Calculs,$E$2,234)</f>
        <v>Compte de résultat: Dot. d'exploit. Pour risques et charges : dotations aux provisions Année N-1</v>
      </c>
    </row>
    <row r="287" spans="2:16" x14ac:dyDescent="0.2">
      <c r="B287" s="111" t="s">
        <v>1757</v>
      </c>
      <c r="C287" s="112"/>
      <c r="D287" s="113" t="s">
        <v>667</v>
      </c>
      <c r="E287" s="112" t="str">
        <f>INDEX(Calculs,$E$2,275)</f>
        <v>Compte de résultat: Total des produits financiers (V) Année N</v>
      </c>
      <c r="F287" s="126" t="str">
        <f>INDEX(Calculs,$E$2,275)</f>
        <v>Compte de résultat: Total des produits financiers (V) Année N</v>
      </c>
      <c r="G287" s="126" t="str">
        <f>INDEX(Calculs,$E$2,276)</f>
        <v>Compte de résultat: Total des produits financiers (V) Année N-1</v>
      </c>
      <c r="I287" s="7" t="str">
        <f t="shared" si="16"/>
        <v>GP</v>
      </c>
      <c r="J287" s="7" t="str">
        <f t="shared" si="19"/>
        <v>GP</v>
      </c>
      <c r="K287" s="7" t="str">
        <f>D287&amp;"(N1)"</f>
        <v>GP(N1)</v>
      </c>
      <c r="L287" s="163" t="str">
        <f>IFERROR(VLOOKUP(D287,Transco!B:E,4,FALSE),"")</f>
        <v>=INDEX(Liste;$E$2;275)</v>
      </c>
      <c r="M287" s="7" t="str">
        <f>IFERROR(VLOOKUP(J287,Transco!B:E,4,FALSE),"")</f>
        <v>=INDEX(Liste;$E$2;275)</v>
      </c>
      <c r="N287" s="7" t="str">
        <f>IFERROR(VLOOKUP(K287,Transco!B:E,4,FALSE),"")</f>
        <v>=INDEX(Liste;$E$2;276)</v>
      </c>
      <c r="O287" s="85" t="s">
        <v>281</v>
      </c>
      <c r="P287" s="7" t="str">
        <f>INDEX(Calculs,$E$2,235)</f>
        <v>Compte de résultat: Dot. d'exploit. Sur actif circulant : dotations aux provisions Année N</v>
      </c>
    </row>
    <row r="288" spans="2:16" x14ac:dyDescent="0.2">
      <c r="G288" s="70" t="str">
        <f>INDEX(Calculs,$E$2,302)</f>
        <v>Passif (bilan):Autres Année N-1</v>
      </c>
      <c r="I288" s="7">
        <f t="shared" si="16"/>
        <v>0</v>
      </c>
      <c r="J288" s="7">
        <f t="shared" si="19"/>
        <v>0</v>
      </c>
      <c r="L288" s="163" t="str">
        <f>IFERROR(VLOOKUP(D288,Transco!B:E,4,FALSE),"")</f>
        <v/>
      </c>
      <c r="M288" s="7" t="str">
        <f>IFERROR(VLOOKUP(J288,Transco!B:E,4,FALSE),"")</f>
        <v/>
      </c>
      <c r="N288" s="7" t="str">
        <f>IFERROR(VLOOKUP(K288,Transco!B:E,4,FALSE),"")</f>
        <v/>
      </c>
      <c r="O288" s="85" t="s">
        <v>3119</v>
      </c>
      <c r="P288" s="7" t="str">
        <f>INDEX(Calculs,$E$2,237)</f>
        <v>Compte de résultat: Dotations financiéres sur amortissements et provisions Année N</v>
      </c>
    </row>
    <row r="289" spans="2:16" x14ac:dyDescent="0.2">
      <c r="B289" s="105" t="s">
        <v>1758</v>
      </c>
      <c r="G289" s="70" t="str">
        <f>INDEX(Calculs,$E$2,302)</f>
        <v>Passif (bilan):Autres Année N-1</v>
      </c>
      <c r="I289" s="7">
        <f t="shared" si="16"/>
        <v>0</v>
      </c>
      <c r="J289" s="7">
        <f t="shared" si="19"/>
        <v>0</v>
      </c>
      <c r="L289" s="163" t="str">
        <f>IFERROR(VLOOKUP(D289,Transco!B:E,4,FALSE),"")</f>
        <v/>
      </c>
      <c r="M289" s="7" t="str">
        <f>IFERROR(VLOOKUP(J289,Transco!B:E,4,FALSE),"")</f>
        <v/>
      </c>
      <c r="N289" s="7" t="str">
        <f>IFERROR(VLOOKUP(K289,Transco!B:E,4,FALSE),"")</f>
        <v/>
      </c>
      <c r="O289" s="85" t="s">
        <v>3120</v>
      </c>
      <c r="P289" s="7" t="str">
        <f>INDEX(Calculs,$E$2,238)</f>
        <v>Compte de résultat: Dotations financiéres sur amortissements et provisions Année N-1</v>
      </c>
    </row>
    <row r="290" spans="2:16" x14ac:dyDescent="0.2">
      <c r="B290" s="39" t="s">
        <v>1759</v>
      </c>
      <c r="C290" s="40"/>
      <c r="D290" s="41" t="s">
        <v>629</v>
      </c>
      <c r="E290" s="40" t="str">
        <f>INDEX(Calculs,$E$2,237)</f>
        <v>Compte de résultat: Dotations financiéres sur amortissements et provisions Année N</v>
      </c>
      <c r="F290" s="57" t="str">
        <f>INDEX(Calculs,$E$2,237)</f>
        <v>Compte de résultat: Dotations financiéres sur amortissements et provisions Année N</v>
      </c>
      <c r="G290" s="57" t="str">
        <f>INDEX(Calculs,$E$2,238)</f>
        <v>Compte de résultat: Dotations financiéres sur amortissements et provisions Année N-1</v>
      </c>
      <c r="I290" s="7" t="str">
        <f t="shared" si="16"/>
        <v>GQ</v>
      </c>
      <c r="J290" s="7" t="str">
        <f t="shared" si="19"/>
        <v>GQ</v>
      </c>
      <c r="K290" s="7" t="str">
        <f>D290&amp;"(N1)"</f>
        <v>GQ(N1)</v>
      </c>
      <c r="L290" s="163" t="str">
        <f>IFERROR(VLOOKUP(D290,Transco!B:E,4,FALSE),"")</f>
        <v>=INDEX(Liste;$E$2;237)</v>
      </c>
      <c r="M290" s="7" t="str">
        <f>IFERROR(VLOOKUP(J290,Transco!B:E,4,FALSE),"")</f>
        <v>=INDEX(Liste;$E$2;237)</v>
      </c>
      <c r="N290" s="7" t="str">
        <f>IFERROR(VLOOKUP(K290,Transco!B:E,4,FALSE),"")</f>
        <v>=INDEX(Liste;$E$2;238)</v>
      </c>
      <c r="O290" s="85" t="s">
        <v>282</v>
      </c>
      <c r="P290" s="7" t="str">
        <f>INDEX(Calculs,$E$2,239)</f>
        <v>Compte de résultat: Impo��ts, taxes et versements assimilés Année N</v>
      </c>
    </row>
    <row r="291" spans="2:16" x14ac:dyDescent="0.2">
      <c r="B291" s="39" t="s">
        <v>1760</v>
      </c>
      <c r="C291" s="40"/>
      <c r="D291" s="41" t="s">
        <v>633</v>
      </c>
      <c r="E291" s="40" t="str">
        <f>INDEX(Calculs,$E$2,241)</f>
        <v>Compte de résultat: Intéré�ts et charges assimilées Année N</v>
      </c>
      <c r="F291" s="57" t="str">
        <f>INDEX(Calculs,$E$2,241)</f>
        <v>Compte de résultat: Intéré�ts et charges assimilées Année N</v>
      </c>
      <c r="G291" s="57" t="str">
        <f>INDEX(Calculs,$E$2,242)</f>
        <v>Compte de résultat: Intéré�ts et charges assimilées Année N-1</v>
      </c>
      <c r="I291" s="7" t="str">
        <f t="shared" si="16"/>
        <v>GR</v>
      </c>
      <c r="J291" s="7" t="str">
        <f t="shared" si="19"/>
        <v>GR</v>
      </c>
      <c r="K291" s="7" t="str">
        <f>D291&amp;"(N1)"</f>
        <v>GR(N1)</v>
      </c>
      <c r="L291" s="163" t="str">
        <f>IFERROR(VLOOKUP(D291,Transco!B:E,4,FALSE),"")</f>
        <v>=INDEX(Liste;$E$2;241)</v>
      </c>
      <c r="M291" s="7" t="str">
        <f>IFERROR(VLOOKUP(J291,Transco!B:E,4,FALSE),"")</f>
        <v>=INDEX(Liste;$E$2;241)</v>
      </c>
      <c r="N291" s="7" t="str">
        <f>IFERROR(VLOOKUP(K291,Transco!B:E,4,FALSE),"")</f>
        <v>=INDEX(Liste;$E$2;242)</v>
      </c>
      <c r="O291" s="85" t="s">
        <v>283</v>
      </c>
      <c r="P291" s="7" t="str">
        <f>INDEX(Calculs,$E$2,240)</f>
        <v>Compte de résultat: Impo��ts, taxes et versements assimilés Année N-1</v>
      </c>
    </row>
    <row r="292" spans="2:16" x14ac:dyDescent="0.2">
      <c r="B292" s="39" t="s">
        <v>1761</v>
      </c>
      <c r="C292" s="40"/>
      <c r="D292" s="41" t="s">
        <v>617</v>
      </c>
      <c r="E292" s="40" t="str">
        <f>INDEX(Calculs,$E$2,225)</f>
        <v>Compte de résultat: Différences négatives de change Année N</v>
      </c>
      <c r="F292" s="57" t="str">
        <f>INDEX(Calculs,$E$2,225)</f>
        <v>Compte de résultat: Différences négatives de change Année N</v>
      </c>
      <c r="G292" s="57" t="str">
        <f>INDEX(Calculs,$E$2,226)</f>
        <v>Compte de résultat: Différences négatives de change Année N-1</v>
      </c>
      <c r="I292" s="7" t="str">
        <f t="shared" si="16"/>
        <v>GS</v>
      </c>
      <c r="J292" s="7" t="str">
        <f t="shared" si="19"/>
        <v>GS</v>
      </c>
      <c r="K292" s="7" t="str">
        <f>D292&amp;"(N1)"</f>
        <v>GS(N1)</v>
      </c>
      <c r="L292" s="163" t="str">
        <f>IFERROR(VLOOKUP(D292,Transco!B:E,4,FALSE),"")</f>
        <v>=INDEX(Liste;$E$2;225)</v>
      </c>
      <c r="M292" s="7" t="str">
        <f>IFERROR(VLOOKUP(J292,Transco!B:E,4,FALSE),"")</f>
        <v>=INDEX(Liste;$E$2;225)</v>
      </c>
      <c r="N292" s="7" t="str">
        <f>IFERROR(VLOOKUP(K292,Transco!B:E,4,FALSE),"")</f>
        <v>=INDEX(Liste;$E$2;226)</v>
      </c>
      <c r="O292" s="85" t="s">
        <v>3121</v>
      </c>
      <c r="P292" s="7" t="str">
        <f>INDEX(Calculs,$E$2,241)</f>
        <v>Compte de résultat: Intéré�ts et charges assimilées Année N</v>
      </c>
    </row>
    <row r="293" spans="2:16" x14ac:dyDescent="0.2">
      <c r="B293" s="39" t="s">
        <v>1762</v>
      </c>
      <c r="C293" s="40"/>
      <c r="D293" s="41" t="s">
        <v>613</v>
      </c>
      <c r="E293" s="40" t="str">
        <f>INDEX(Calculs,$E$2,221)</f>
        <v>Compte de résultat: Charges nettes sur cessions de valeurs mobiliéres de placement Année N</v>
      </c>
      <c r="F293" s="57" t="str">
        <f>INDEX(Calculs,$E$2,221)</f>
        <v>Compte de résultat: Charges nettes sur cessions de valeurs mobiliéres de placement Année N</v>
      </c>
      <c r="G293" s="57" t="str">
        <f>INDEX(Calculs,$E$2,222)</f>
        <v>Compte de résultat: Charges nettes sur cessions de valeurs mobiliéres de placement Année N-1</v>
      </c>
      <c r="I293" s="7" t="str">
        <f t="shared" si="16"/>
        <v>GT</v>
      </c>
      <c r="J293" s="7" t="str">
        <f t="shared" si="19"/>
        <v>GT</v>
      </c>
      <c r="K293" s="7" t="str">
        <f>D293&amp;"(N1)"</f>
        <v>GT(N1)</v>
      </c>
      <c r="L293" s="163" t="str">
        <f>IFERROR(VLOOKUP(D293,Transco!B:E,4,FALSE),"")</f>
        <v>=INDEX(Liste;$E$2;221)</v>
      </c>
      <c r="M293" s="7" t="str">
        <f>IFERROR(VLOOKUP(J293,Transco!B:E,4,FALSE),"")</f>
        <v>=INDEX(Liste;$E$2;221)</v>
      </c>
      <c r="N293" s="7" t="str">
        <f>IFERROR(VLOOKUP(K293,Transco!B:E,4,FALSE),"")</f>
        <v>=INDEX(Liste;$E$2;222)</v>
      </c>
      <c r="O293" s="85" t="s">
        <v>3122</v>
      </c>
      <c r="P293" s="7" t="str">
        <f>INDEX(Calculs,$E$2,242)</f>
        <v>Compte de résultat: Intéré�ts et charges assimilées Année N-1</v>
      </c>
    </row>
    <row r="294" spans="2:16" x14ac:dyDescent="0.2">
      <c r="C294" s="105"/>
      <c r="D294" s="106"/>
      <c r="E294" s="105"/>
      <c r="G294" s="70" t="str">
        <f>INDEX(Calculs,$E$2,302)</f>
        <v>Passif (bilan):Autres Année N-1</v>
      </c>
      <c r="I294" s="7">
        <f t="shared" si="16"/>
        <v>0</v>
      </c>
      <c r="J294" s="7">
        <f t="shared" si="19"/>
        <v>0</v>
      </c>
      <c r="L294" s="163" t="str">
        <f>IFERROR(VLOOKUP(D294,Transco!B:E,4,FALSE),"")</f>
        <v/>
      </c>
      <c r="M294" s="7" t="str">
        <f>IFERROR(VLOOKUP(J294,Transco!B:E,4,FALSE),"")</f>
        <v/>
      </c>
      <c r="N294" s="7" t="str">
        <f>IFERROR(VLOOKUP(K294,Transco!B:E,4,FALSE),"")</f>
        <v/>
      </c>
      <c r="O294" s="85" t="s">
        <v>286</v>
      </c>
      <c r="P294" s="7" t="str">
        <f>INDEX(Calculs,$E$2,243)</f>
        <v>Compte de résultat: Perte supportée ou bénéfice transféré (IV) Année N</v>
      </c>
    </row>
    <row r="295" spans="2:16" ht="13.5" thickBot="1" x14ac:dyDescent="0.25">
      <c r="B295" s="111" t="s">
        <v>1763</v>
      </c>
      <c r="C295" s="112"/>
      <c r="D295" s="113" t="s">
        <v>651</v>
      </c>
      <c r="E295" s="112" t="str">
        <f>INDEX(Calculs,$E$2,259)</f>
        <v>Compte de résultat: RESULTAT FINANCIER (V - VI) Année N</v>
      </c>
      <c r="F295" s="126" t="str">
        <f>INDEX(Calculs,$E$2,259)</f>
        <v>Compte de résultat: RESULTAT FINANCIER (V - VI) Année N</v>
      </c>
      <c r="G295" s="126" t="str">
        <f>INDEX(Calculs,$E$2,260)</f>
        <v>Compte de résultat: RESULTAT FINANCIER (V - VI) Année N-1</v>
      </c>
      <c r="I295" s="7" t="str">
        <f t="shared" si="16"/>
        <v>GV</v>
      </c>
      <c r="J295" s="7" t="str">
        <f t="shared" si="19"/>
        <v>GV</v>
      </c>
      <c r="K295" s="7" t="str">
        <f>D295&amp;"(N1)"</f>
        <v>GV(N1)</v>
      </c>
      <c r="L295" s="163" t="str">
        <f>IFERROR(VLOOKUP(D295,Transco!B:E,4,FALSE),"")</f>
        <v>=INDEX(Liste;$E$2;259)</v>
      </c>
      <c r="M295" s="7" t="str">
        <f>IFERROR(VLOOKUP(J295,Transco!B:E,4,FALSE),"")</f>
        <v>=INDEX(Liste;$E$2;259)</v>
      </c>
      <c r="N295" s="7" t="str">
        <f>IFERROR(VLOOKUP(K295,Transco!B:E,4,FALSE),"")</f>
        <v>=INDEX(Liste;$E$2;260)</v>
      </c>
      <c r="O295" s="85" t="s">
        <v>287</v>
      </c>
      <c r="P295" s="7" t="str">
        <f>INDEX(Calculs,$E$2,244)</f>
        <v>Compte de résultat: Perte supportée ou bénéfice transféré (IV) Année N-1</v>
      </c>
    </row>
    <row r="296" spans="2:16" x14ac:dyDescent="0.2">
      <c r="B296" s="59"/>
      <c r="C296" s="59"/>
      <c r="D296" s="59"/>
      <c r="E296" s="60"/>
      <c r="F296" s="72"/>
      <c r="G296" s="72" t="str">
        <f>INDEX(Calculs,$E$2,302)</f>
        <v>Passif (bilan):Autres Année N-1</v>
      </c>
      <c r="I296" s="7">
        <f t="shared" si="16"/>
        <v>0</v>
      </c>
      <c r="J296" s="7">
        <f t="shared" si="19"/>
        <v>0</v>
      </c>
      <c r="L296" s="163" t="str">
        <f>IFERROR(VLOOKUP(D296,Transco!B:E,4,FALSE),"")</f>
        <v/>
      </c>
      <c r="M296" s="7" t="str">
        <f>IFERROR(VLOOKUP(J296,Transco!B:E,4,FALSE),"")</f>
        <v/>
      </c>
      <c r="N296" s="7" t="str">
        <f>IFERROR(VLOOKUP(K296,Transco!B:E,4,FALSE),"")</f>
        <v/>
      </c>
      <c r="O296" s="85" t="s">
        <v>288</v>
      </c>
      <c r="P296" s="7" t="str">
        <f>INDEX(Calculs,$E$2,245)</f>
        <v>Compte de résultat: Production immobilisée Année N</v>
      </c>
    </row>
    <row r="297" spans="2:16" x14ac:dyDescent="0.2">
      <c r="G297" s="70" t="str">
        <f>INDEX(Calculs,$E$2,302)</f>
        <v>Passif (bilan):Autres Année N-1</v>
      </c>
      <c r="I297" s="7">
        <f t="shared" si="16"/>
        <v>0</v>
      </c>
      <c r="J297" s="7">
        <f t="shared" si="19"/>
        <v>0</v>
      </c>
      <c r="L297" s="163" t="str">
        <f>IFERROR(VLOOKUP(D297,Transco!B:E,4,FALSE),"")</f>
        <v/>
      </c>
      <c r="M297" s="7" t="str">
        <f>IFERROR(VLOOKUP(J297,Transco!B:E,4,FALSE),"")</f>
        <v/>
      </c>
      <c r="N297" s="7" t="str">
        <f>IFERROR(VLOOKUP(K297,Transco!B:E,4,FALSE),"")</f>
        <v/>
      </c>
      <c r="O297" s="85" t="s">
        <v>289</v>
      </c>
      <c r="P297" s="7" t="str">
        <f>INDEX(Calculs,$E$2,246)</f>
        <v>Compte de résultat: Production immobilisée Année N-1</v>
      </c>
    </row>
    <row r="298" spans="2:16" ht="13.5" thickBot="1" x14ac:dyDescent="0.25">
      <c r="B298" s="111" t="s">
        <v>1764</v>
      </c>
      <c r="C298" s="112"/>
      <c r="D298" s="113" t="s">
        <v>647</v>
      </c>
      <c r="E298" s="112" t="str">
        <f>INDEX(Calculs,$E$2,255)</f>
        <v>Compte de résultat: RESULTAT COURANT AVANT IMPOTS (I - II + III - IV + V - VI) Année N</v>
      </c>
      <c r="F298" s="126" t="str">
        <f>INDEX(Calculs,$E$2,255)</f>
        <v>Compte de résultat: RESULTAT COURANT AVANT IMPOTS (I - II + III - IV + V - VI) Année N</v>
      </c>
      <c r="G298" s="126" t="str">
        <f>INDEX(Calculs,$E$2,256)</f>
        <v>Compte de résultat: RESULTAT COURANT AVANT IMPOTS (I - II + III - IV + V - VI) Année N-1</v>
      </c>
      <c r="I298" s="7" t="str">
        <f t="shared" si="16"/>
        <v>GW</v>
      </c>
      <c r="J298" s="7" t="str">
        <f t="shared" si="19"/>
        <v>GW</v>
      </c>
      <c r="K298" s="7" t="str">
        <f>D298&amp;"(N1)"</f>
        <v>GW(N1)</v>
      </c>
      <c r="L298" s="163" t="str">
        <f>IFERROR(VLOOKUP(D298,Transco!B:E,4,FALSE),"")</f>
        <v>=INDEX(Liste;$E$2;255)</v>
      </c>
      <c r="M298" s="7" t="str">
        <f>IFERROR(VLOOKUP(J298,Transco!B:E,4,FALSE),"")</f>
        <v>=INDEX(Liste;$E$2;255)</v>
      </c>
      <c r="N298" s="7" t="str">
        <f>IFERROR(VLOOKUP(K298,Transco!B:E,4,FALSE),"")</f>
        <v>=INDEX(Liste;$E$2;256)</v>
      </c>
      <c r="O298" s="85" t="s">
        <v>290</v>
      </c>
      <c r="P298" s="7" t="str">
        <f>INDEX(Calculs,$E$2,247)</f>
        <v>Compte de résultat: Production stockée Année N</v>
      </c>
    </row>
    <row r="299" spans="2:16" x14ac:dyDescent="0.2">
      <c r="B299" s="59"/>
      <c r="C299" s="59"/>
      <c r="D299" s="59"/>
      <c r="E299" s="60"/>
      <c r="F299" s="72"/>
      <c r="G299" s="72" t="str">
        <f>INDEX(Calculs,$E$2,302)</f>
        <v>Passif (bilan):Autres Année N-1</v>
      </c>
      <c r="I299" s="7">
        <f t="shared" si="16"/>
        <v>0</v>
      </c>
      <c r="J299" s="7">
        <f t="shared" si="19"/>
        <v>0</v>
      </c>
      <c r="L299" s="163" t="str">
        <f>IFERROR(VLOOKUP(D299,Transco!B:E,4,FALSE),"")</f>
        <v/>
      </c>
      <c r="M299" s="7" t="str">
        <f>IFERROR(VLOOKUP(J299,Transco!B:E,4,FALSE),"")</f>
        <v/>
      </c>
      <c r="N299" s="7" t="str">
        <f>IFERROR(VLOOKUP(K299,Transco!B:E,4,FALSE),"")</f>
        <v/>
      </c>
      <c r="O299" s="85" t="s">
        <v>291</v>
      </c>
      <c r="P299" s="7" t="str">
        <f>INDEX(Calculs,$E$2,248)</f>
        <v>Compte de résultat: Production stockée Année N-1</v>
      </c>
    </row>
    <row r="300" spans="2:16" x14ac:dyDescent="0.2">
      <c r="B300" s="38"/>
      <c r="C300" s="38"/>
      <c r="D300" s="103"/>
      <c r="F300" s="142"/>
      <c r="G300" s="70" t="str">
        <f>INDEX(Calculs,$E$2,302)</f>
        <v>Passif (bilan):Autres Année N-1</v>
      </c>
      <c r="I300" s="7">
        <f t="shared" si="16"/>
        <v>0</v>
      </c>
      <c r="J300" s="7">
        <f t="shared" si="19"/>
        <v>0</v>
      </c>
      <c r="L300" s="163" t="str">
        <f>IFERROR(VLOOKUP(D300,Transco!B:E,4,FALSE),"")</f>
        <v/>
      </c>
      <c r="M300" s="7" t="str">
        <f>IFERROR(VLOOKUP(J300,Transco!B:E,4,FALSE),"")</f>
        <v/>
      </c>
      <c r="N300" s="7" t="str">
        <f>IFERROR(VLOOKUP(K300,Transco!B:E,4,FALSE),"")</f>
        <v/>
      </c>
      <c r="O300" s="85" t="s">
        <v>292</v>
      </c>
      <c r="P300" s="7" t="str">
        <f>INDEX(Calculs,$E$2,249)</f>
        <v>Compte de résultat: Produits des autres valeurs mobiliéres et créances de l� actif immobilisé Année N</v>
      </c>
    </row>
    <row r="301" spans="2:16" x14ac:dyDescent="0.2">
      <c r="B301" s="105" t="s">
        <v>1765</v>
      </c>
      <c r="C301" s="105"/>
      <c r="D301" s="106"/>
      <c r="E301" s="106"/>
      <c r="G301" s="70" t="str">
        <f>INDEX(Calculs,$E$2,302)</f>
        <v>Passif (bilan):Autres Année N-1</v>
      </c>
      <c r="I301" s="7">
        <f t="shared" si="16"/>
        <v>0</v>
      </c>
      <c r="J301" s="7">
        <f t="shared" si="19"/>
        <v>0</v>
      </c>
      <c r="L301" s="163" t="str">
        <f>IFERROR(VLOOKUP(D301,Transco!B:E,4,FALSE),"")</f>
        <v/>
      </c>
      <c r="M301" s="7" t="str">
        <f>IFERROR(VLOOKUP(J301,Transco!B:E,4,FALSE),"")</f>
        <v/>
      </c>
      <c r="N301" s="7" t="str">
        <f>IFERROR(VLOOKUP(K301,Transco!B:E,4,FALSE),"")</f>
        <v/>
      </c>
      <c r="O301" s="85" t="s">
        <v>293</v>
      </c>
      <c r="P301" s="7" t="str">
        <f>INDEX(Calculs,$E$2,250)</f>
        <v>Compte de résultat: Produits des autres valeurs mobiliéres et créances de l� actif immobilisé Année N-1</v>
      </c>
    </row>
    <row r="302" spans="2:16" x14ac:dyDescent="0.2">
      <c r="B302" s="39" t="s">
        <v>1766</v>
      </c>
      <c r="C302" s="40"/>
      <c r="D302" s="41" t="s">
        <v>577</v>
      </c>
      <c r="E302" s="40" t="str">
        <f>INDEX(Calculs,$E$2,185)</f>
        <v>Compte de résultat (suite):Produits exceptionnels sur opérations de gestion Année N</v>
      </c>
      <c r="F302" s="57" t="str">
        <f>INDEX(Calculs,$E$2,185)</f>
        <v>Compte de résultat (suite):Produits exceptionnels sur opérations de gestion Année N</v>
      </c>
      <c r="G302" s="57" t="str">
        <f>INDEX(Calculs,$E$2,186)</f>
        <v>Compte de résultat (suite):Produits exceptionnels sur opérations de gestion Année N-1</v>
      </c>
      <c r="I302" s="7" t="str">
        <f t="shared" si="16"/>
        <v>HA</v>
      </c>
      <c r="J302" s="7" t="str">
        <f t="shared" si="19"/>
        <v>HA</v>
      </c>
      <c r="K302" s="7" t="str">
        <f>D302&amp;"(N1)"</f>
        <v>HA(N1)</v>
      </c>
      <c r="L302" s="163" t="str">
        <f>IFERROR(VLOOKUP(D302,Transco!B:E,4,FALSE),"")</f>
        <v>=INDEX(Liste;$E$2;185)</v>
      </c>
      <c r="M302" s="7" t="str">
        <f>IFERROR(VLOOKUP(J302,Transco!B:E,4,FALSE),"")</f>
        <v>=INDEX(Liste;$E$2;185)</v>
      </c>
      <c r="N302" s="7" t="str">
        <f>IFERROR(VLOOKUP(K302,Transco!B:E,4,FALSE),"")</f>
        <v>=INDEX(Liste;$E$2;186)</v>
      </c>
      <c r="O302" s="85" t="s">
        <v>3123</v>
      </c>
      <c r="P302" s="7" t="str">
        <f>INDEX(Calculs,$E$2,251)</f>
        <v>Compte de résultat: Produits financiers de participations Année N</v>
      </c>
    </row>
    <row r="303" spans="2:16" x14ac:dyDescent="0.2">
      <c r="B303" s="39" t="s">
        <v>1767</v>
      </c>
      <c r="C303" s="40"/>
      <c r="D303" s="41" t="s">
        <v>579</v>
      </c>
      <c r="E303" s="40" t="str">
        <f>INDEX(Calculs,$E$2,187)</f>
        <v>Compte de résultat (suite):Produits exceptionnels sur opérations en capital Année N</v>
      </c>
      <c r="F303" s="57" t="str">
        <f>INDEX(Calculs,$E$2,187)</f>
        <v>Compte de résultat (suite):Produits exceptionnels sur opérations en capital Année N</v>
      </c>
      <c r="G303" s="57" t="str">
        <f>INDEX(Calculs,$E$2,188)</f>
        <v>Compte de résultat (suite):Produits exceptionnels sur opérations en capital Année N-1</v>
      </c>
      <c r="I303" s="7" t="str">
        <f t="shared" si="16"/>
        <v>HB</v>
      </c>
      <c r="J303" s="7" t="str">
        <f t="shared" si="19"/>
        <v>HB</v>
      </c>
      <c r="K303" s="7" t="str">
        <f>D303&amp;"(N1)"</f>
        <v>HB(N1)</v>
      </c>
      <c r="L303" s="163" t="str">
        <f>IFERROR(VLOOKUP(D303,Transco!B:E,4,FALSE),"")</f>
        <v>=INDEX(Liste;$E$2;187)</v>
      </c>
      <c r="M303" s="7" t="str">
        <f>IFERROR(VLOOKUP(J303,Transco!B:E,4,FALSE),"")</f>
        <v>=INDEX(Liste;$E$2;187)</v>
      </c>
      <c r="N303" s="7" t="str">
        <f>IFERROR(VLOOKUP(K303,Transco!B:E,4,FALSE),"")</f>
        <v>=INDEX(Liste;$E$2;188)</v>
      </c>
      <c r="O303" s="85" t="s">
        <v>3124</v>
      </c>
      <c r="P303" s="7" t="str">
        <f>INDEX(Calculs,$E$2,252)</f>
        <v>Compte de résultat: Produits financiers de participations Année N-1</v>
      </c>
    </row>
    <row r="304" spans="2:16" x14ac:dyDescent="0.2">
      <c r="B304" s="39" t="s">
        <v>1754</v>
      </c>
      <c r="C304" s="40"/>
      <c r="D304" s="41" t="s">
        <v>655</v>
      </c>
      <c r="E304" s="40" t="str">
        <f>INDEX(Calculs,$E$2,263)</f>
        <v>Compte de résultat: Reprises sur provisions et transferts de charges Année N</v>
      </c>
      <c r="F304" s="57" t="str">
        <f>INDEX(Calculs,$E$2,263)</f>
        <v>Compte de résultat: Reprises sur provisions et transferts de charges Année N</v>
      </c>
      <c r="G304" s="57" t="str">
        <f>INDEX(Calculs,$E$2,264)</f>
        <v>Compte de résultat: Reprises sur provisions et transferts de charges Année N-1</v>
      </c>
      <c r="I304" s="7" t="str">
        <f t="shared" ref="I304:I335" si="20">D304</f>
        <v>HC</v>
      </c>
      <c r="J304" s="7" t="str">
        <f t="shared" si="19"/>
        <v>HC</v>
      </c>
      <c r="K304" s="7" t="str">
        <f>D304&amp;"(N1)"</f>
        <v>HC(N1)</v>
      </c>
      <c r="L304" s="163" t="str">
        <f>IFERROR(VLOOKUP(D304,Transco!B:E,4,FALSE),"")</f>
        <v>=INDEX(Liste;$E$2;263)</v>
      </c>
      <c r="M304" s="7" t="str">
        <f>IFERROR(VLOOKUP(J304,Transco!B:E,4,FALSE),"")</f>
        <v>=INDEX(Liste;$E$2;263)</v>
      </c>
      <c r="N304" s="7" t="str">
        <f>IFERROR(VLOOKUP(K304,Transco!B:E,4,FALSE),"")</f>
        <v>=INDEX(Liste;$E$2;264)</v>
      </c>
      <c r="O304" s="85" t="s">
        <v>3125</v>
      </c>
      <c r="P304" s="7" t="str">
        <f>INDEX(Calculs,$E$2,253)</f>
        <v>Compte de résultat: Produits nets sur cessions de valeurs mobiliéres de placement Année N</v>
      </c>
    </row>
    <row r="305" spans="2:16" x14ac:dyDescent="0.2">
      <c r="B305" s="38"/>
      <c r="C305" s="38"/>
      <c r="D305" s="103"/>
      <c r="F305" s="142"/>
      <c r="G305" s="70" t="str">
        <f>INDEX(Calculs,$E$2,302)</f>
        <v>Passif (bilan):Autres Année N-1</v>
      </c>
      <c r="I305" s="7">
        <f t="shared" si="20"/>
        <v>0</v>
      </c>
      <c r="J305" s="7">
        <f t="shared" si="19"/>
        <v>0</v>
      </c>
      <c r="L305" s="163" t="str">
        <f>IFERROR(VLOOKUP(D305,Transco!B:E,4,FALSE),"")</f>
        <v/>
      </c>
      <c r="M305" s="7" t="str">
        <f>IFERROR(VLOOKUP(J305,Transco!B:E,4,FALSE),"")</f>
        <v/>
      </c>
      <c r="N305" s="7" t="str">
        <f>IFERROR(VLOOKUP(K305,Transco!B:E,4,FALSE),"")</f>
        <v/>
      </c>
      <c r="O305" s="85" t="s">
        <v>3126</v>
      </c>
      <c r="P305" s="7" t="str">
        <f>INDEX(Calculs,$E$2,254)</f>
        <v>Compte de résultat: Produits nets sur cessions de valeurs mobiliéres de placement Année N-1</v>
      </c>
    </row>
    <row r="306" spans="2:16" x14ac:dyDescent="0.2">
      <c r="B306" s="111" t="s">
        <v>1768</v>
      </c>
      <c r="C306" s="112"/>
      <c r="D306" s="113" t="s">
        <v>597</v>
      </c>
      <c r="E306" s="112" t="str">
        <f>INDEX(Calculs,$E$2,205)</f>
        <v>Compte de résultat (suite):Total des produits exceptionnels (VII) Année N</v>
      </c>
      <c r="F306" s="126" t="str">
        <f>INDEX(Calculs,$E$2,205)</f>
        <v>Compte de résultat (suite):Total des produits exceptionnels (VII) Année N</v>
      </c>
      <c r="G306" s="126" t="str">
        <f>INDEX(Calculs,$E$2,206)</f>
        <v>Compte de résultat (suite):Total des produits exceptionnels (VII) Année N-1</v>
      </c>
      <c r="I306" s="7" t="str">
        <f t="shared" si="20"/>
        <v>HD</v>
      </c>
      <c r="J306" s="7" t="str">
        <f t="shared" si="19"/>
        <v>HD</v>
      </c>
      <c r="K306" s="7" t="str">
        <f>D306&amp;"(N1)"</f>
        <v>HD(N1)</v>
      </c>
      <c r="L306" s="163" t="str">
        <f>IFERROR(VLOOKUP(D306,Transco!B:E,4,FALSE),"")</f>
        <v>=INDEX(Liste;$E$2;205)</v>
      </c>
      <c r="M306" s="7" t="str">
        <f>IFERROR(VLOOKUP(J306,Transco!B:E,4,FALSE),"")</f>
        <v>=INDEX(Liste;$E$2;205)</v>
      </c>
      <c r="N306" s="7" t="str">
        <f>IFERROR(VLOOKUP(K306,Transco!B:E,4,FALSE),"")</f>
        <v>=INDEX(Liste;$E$2;206)</v>
      </c>
      <c r="O306" s="85" t="s">
        <v>3127</v>
      </c>
      <c r="P306" s="7" t="str">
        <f>INDEX(Calculs,$E$2,255)</f>
        <v>Compte de résultat: RESULTAT COURANT AVANT IMPOTS (I - II + III - IV + V - VI) Année N</v>
      </c>
    </row>
    <row r="307" spans="2:16" x14ac:dyDescent="0.2">
      <c r="G307" s="70" t="str">
        <f>INDEX(Calculs,$E$2,302)</f>
        <v>Passif (bilan):Autres Année N-1</v>
      </c>
      <c r="I307" s="7">
        <f t="shared" si="20"/>
        <v>0</v>
      </c>
      <c r="J307" s="7">
        <f t="shared" si="19"/>
        <v>0</v>
      </c>
      <c r="L307" s="163" t="str">
        <f>IFERROR(VLOOKUP(D307,Transco!B:E,4,FALSE),"")</f>
        <v/>
      </c>
      <c r="M307" s="7" t="str">
        <f>IFERROR(VLOOKUP(J307,Transco!B:E,4,FALSE),"")</f>
        <v/>
      </c>
      <c r="N307" s="7" t="str">
        <f>IFERROR(VLOOKUP(K307,Transco!B:E,4,FALSE),"")</f>
        <v/>
      </c>
      <c r="O307" s="85" t="s">
        <v>3128</v>
      </c>
      <c r="P307" s="7" t="str">
        <f>INDEX(Calculs,$E$2,257)</f>
        <v>Compte de résultat: RESULTAT d'EXPLOITATION (I - II) Année N</v>
      </c>
    </row>
    <row r="308" spans="2:16" x14ac:dyDescent="0.2">
      <c r="B308" s="105" t="s">
        <v>1769</v>
      </c>
      <c r="C308" s="105"/>
      <c r="D308" s="106"/>
      <c r="F308" s="141"/>
      <c r="G308" s="70" t="str">
        <f>INDEX(Calculs,$E$2,302)</f>
        <v>Passif (bilan):Autres Année N-1</v>
      </c>
      <c r="I308" s="7">
        <f t="shared" si="20"/>
        <v>0</v>
      </c>
      <c r="J308" s="7">
        <f t="shared" si="19"/>
        <v>0</v>
      </c>
      <c r="L308" s="163" t="str">
        <f>IFERROR(VLOOKUP(D308,Transco!B:E,4,FALSE),"")</f>
        <v/>
      </c>
      <c r="M308" s="7" t="str">
        <f>IFERROR(VLOOKUP(J308,Transco!B:E,4,FALSE),"")</f>
        <v/>
      </c>
      <c r="N308" s="7" t="str">
        <f>IFERROR(VLOOKUP(K308,Transco!B:E,4,FALSE),"")</f>
        <v/>
      </c>
      <c r="O308" s="85" t="s">
        <v>3129</v>
      </c>
      <c r="P308" s="7" t="str">
        <f>INDEX(Calculs,$E$2,258)</f>
        <v>Compte de résultat: RESULTAT d'EXPLOITATION (I - II) Année N-1</v>
      </c>
    </row>
    <row r="309" spans="2:16" x14ac:dyDescent="0.2">
      <c r="B309" s="39" t="s">
        <v>1770</v>
      </c>
      <c r="C309" s="40"/>
      <c r="D309" s="41" t="s">
        <v>561</v>
      </c>
      <c r="E309" s="40" t="str">
        <f>INDEX(Calculs,$E$2,169)</f>
        <v>Compte de résultat (suite):Charges exceptionnelles sur opérations de gestion Année N</v>
      </c>
      <c r="F309" s="57" t="str">
        <f>INDEX(Calculs,$E$2,169)</f>
        <v>Compte de résultat (suite):Charges exceptionnelles sur opérations de gestion Année N</v>
      </c>
      <c r="G309" s="57" t="str">
        <f>INDEX(Calculs,$E$2,170)</f>
        <v>Compte de résultat (suite):Charges exceptionnelles sur opérations de gestion Année N-1</v>
      </c>
      <c r="I309" s="7" t="str">
        <f t="shared" si="20"/>
        <v>HE</v>
      </c>
      <c r="J309" s="7" t="str">
        <f t="shared" si="19"/>
        <v>HE</v>
      </c>
      <c r="K309" s="7" t="str">
        <f>D309&amp;"(N1)"</f>
        <v>HE(N1)</v>
      </c>
      <c r="L309" s="163" t="str">
        <f>IFERROR(VLOOKUP(D309,Transco!B:E,4,FALSE),"")</f>
        <v>=INDEX(Liste;$E$2;169)</v>
      </c>
      <c r="M309" s="7" t="str">
        <f>IFERROR(VLOOKUP(J309,Transco!B:E,4,FALSE),"")</f>
        <v>=INDEX(Liste;$E$2;169)</v>
      </c>
      <c r="N309" s="7" t="str">
        <f>IFERROR(VLOOKUP(K309,Transco!B:E,4,FALSE),"")</f>
        <v>=INDEX(Liste;$E$2;170)</v>
      </c>
      <c r="O309" s="85" t="s">
        <v>3130</v>
      </c>
      <c r="P309" s="7" t="str">
        <f>INDEX(Calculs,$E$2,259)</f>
        <v>Compte de résultat: RESULTAT FINANCIER (V - VI) Année N</v>
      </c>
    </row>
    <row r="310" spans="2:16" x14ac:dyDescent="0.2">
      <c r="B310" s="39" t="s">
        <v>1771</v>
      </c>
      <c r="C310" s="40"/>
      <c r="D310" s="41" t="s">
        <v>563</v>
      </c>
      <c r="E310" s="40" t="str">
        <f>INDEX(Calculs,$E$2,171)</f>
        <v>Compte de résultat (suite):Charges exceptionnelles sur opérations en capital Année N</v>
      </c>
      <c r="F310" s="57" t="str">
        <f>INDEX(Calculs,$E$2,171)</f>
        <v>Compte de résultat (suite):Charges exceptionnelles sur opérations en capital Année N</v>
      </c>
      <c r="G310" s="57" t="str">
        <f>INDEX(Calculs,$E$2,172)</f>
        <v>Compte de résultat (suite):Charges exceptionnelles sur opérations en capital Année N-1</v>
      </c>
      <c r="I310" s="7" t="str">
        <f t="shared" si="20"/>
        <v>HF</v>
      </c>
      <c r="J310" s="7" t="str">
        <f t="shared" si="19"/>
        <v>HF</v>
      </c>
      <c r="K310" s="7" t="str">
        <f>D310&amp;"(N1)"</f>
        <v>HF(N1)</v>
      </c>
      <c r="L310" s="163" t="str">
        <f>IFERROR(VLOOKUP(D310,Transco!B:E,4,FALSE),"")</f>
        <v>=INDEX(Liste;$E$2;171)</v>
      </c>
      <c r="M310" s="7" t="str">
        <f>IFERROR(VLOOKUP(J310,Transco!B:E,4,FALSE),"")</f>
        <v>=INDEX(Liste;$E$2;171)</v>
      </c>
      <c r="N310" s="7" t="str">
        <f>IFERROR(VLOOKUP(K310,Transco!B:E,4,FALSE),"")</f>
        <v>=INDEX(Liste;$E$2;172)</v>
      </c>
      <c r="O310" s="85" t="s">
        <v>300</v>
      </c>
      <c r="P310" s="7" t="str">
        <f>INDEX(Calculs,$E$2,260)</f>
        <v>Compte de résultat: RESULTAT FINANCIER (V - VI) Année N-1</v>
      </c>
    </row>
    <row r="311" spans="2:16" x14ac:dyDescent="0.2">
      <c r="B311" s="39" t="s">
        <v>1772</v>
      </c>
      <c r="C311" s="40"/>
      <c r="D311" s="41" t="s">
        <v>567</v>
      </c>
      <c r="E311" s="40" t="str">
        <f>INDEX(Calculs,$E$2,175)</f>
        <v>Compte de résultat (suite):Dotations exceptionnelles aux amortissements et provisions Année N</v>
      </c>
      <c r="F311" s="57" t="str">
        <f>INDEX(Calculs,$E$2,175)</f>
        <v>Compte de résultat (suite):Dotations exceptionnelles aux amortissements et provisions Année N</v>
      </c>
      <c r="G311" s="57" t="str">
        <f>INDEX(Calculs,$E$2,176)</f>
        <v>Compte de résultat (suite):Dotations exceptionnelles aux amortissements et provisions Année N-1</v>
      </c>
      <c r="I311" s="7" t="str">
        <f t="shared" si="20"/>
        <v>HG</v>
      </c>
      <c r="J311" s="7" t="str">
        <f t="shared" si="19"/>
        <v>HG</v>
      </c>
      <c r="K311" s="7" t="str">
        <f>D311&amp;"(N1)"</f>
        <v>HG(N1)</v>
      </c>
      <c r="L311" s="163" t="str">
        <f>IFERROR(VLOOKUP(D311,Transco!B:E,4,FALSE),"")</f>
        <v>=INDEX(Liste;$E$2;175)</v>
      </c>
      <c r="M311" s="7" t="str">
        <f>IFERROR(VLOOKUP(J311,Transco!B:E,4,FALSE),"")</f>
        <v>=INDEX(Liste;$E$2;175)</v>
      </c>
      <c r="N311" s="7" t="str">
        <f>IFERROR(VLOOKUP(K311,Transco!B:E,4,FALSE),"")</f>
        <v>=INDEX(Liste;$E$2;176)</v>
      </c>
      <c r="O311" s="85" t="s">
        <v>301</v>
      </c>
      <c r="P311" s="7" t="str">
        <f>INDEX(Calculs,$E$2,261)</f>
        <v>Compte de résultat: Reprises sur amortissements et provisions, transfert de charges Année N</v>
      </c>
    </row>
    <row r="312" spans="2:16" x14ac:dyDescent="0.2">
      <c r="B312" s="38"/>
      <c r="C312" s="38"/>
      <c r="D312" s="103"/>
      <c r="F312" s="142"/>
      <c r="G312" s="70" t="str">
        <f>INDEX(Calculs,$E$2,302)</f>
        <v>Passif (bilan):Autres Année N-1</v>
      </c>
      <c r="I312" s="7">
        <f t="shared" si="20"/>
        <v>0</v>
      </c>
      <c r="J312" s="7">
        <f t="shared" si="19"/>
        <v>0</v>
      </c>
      <c r="L312" s="163" t="str">
        <f>IFERROR(VLOOKUP(D312,Transco!B:E,4,FALSE),"")</f>
        <v/>
      </c>
      <c r="M312" s="7" t="str">
        <f>IFERROR(VLOOKUP(J312,Transco!B:E,4,FALSE),"")</f>
        <v/>
      </c>
      <c r="N312" s="7" t="str">
        <f>IFERROR(VLOOKUP(K312,Transco!B:E,4,FALSE),"")</f>
        <v/>
      </c>
      <c r="O312" s="85" t="s">
        <v>302</v>
      </c>
      <c r="P312" s="7" t="str">
        <f>INDEX(Calculs,$E$2,262)</f>
        <v>Compte de résultat: Reprises sur amortissements et provisions, transfert de charges Année N-1</v>
      </c>
    </row>
    <row r="313" spans="2:16" x14ac:dyDescent="0.2">
      <c r="B313" s="111" t="s">
        <v>1773</v>
      </c>
      <c r="C313" s="112"/>
      <c r="D313" s="113" t="s">
        <v>595</v>
      </c>
      <c r="E313" s="112" t="str">
        <f>INDEX(Calculs,$E$2,203)</f>
        <v>Compte de résultat (suite):Total des charges exceptionnelles (VIII) Année N</v>
      </c>
      <c r="F313" s="126" t="str">
        <f>INDEX(Calculs,$E$2,203)</f>
        <v>Compte de résultat (suite):Total des charges exceptionnelles (VIII) Année N</v>
      </c>
      <c r="G313" s="126" t="str">
        <f>INDEX(Calculs,$E$2,204)</f>
        <v>Compte de résultat (suite):Total des charges exceptionnelles (VIII) Année N-1</v>
      </c>
      <c r="I313" s="7" t="str">
        <f t="shared" si="20"/>
        <v>HH</v>
      </c>
      <c r="J313" s="7" t="str">
        <f t="shared" si="19"/>
        <v>HH</v>
      </c>
      <c r="K313" s="7" t="str">
        <f>D313&amp;"(N1)"</f>
        <v>HH(N1)</v>
      </c>
      <c r="L313" s="163" t="str">
        <f>IFERROR(VLOOKUP(D313,Transco!B:E,4,FALSE),"")</f>
        <v>=INDEX(Liste;$E$2;203)</v>
      </c>
      <c r="M313" s="7" t="str">
        <f>IFERROR(VLOOKUP(J313,Transco!B:E,4,FALSE),"")</f>
        <v>=INDEX(Liste;$E$2;203)</v>
      </c>
      <c r="N313" s="7" t="str">
        <f>IFERROR(VLOOKUP(K313,Transco!B:E,4,FALSE),"")</f>
        <v>=INDEX(Liste;$E$2;204)</v>
      </c>
      <c r="O313" s="85" t="s">
        <v>303</v>
      </c>
      <c r="P313" s="7" t="str">
        <f>INDEX(Calculs,$E$2,263)</f>
        <v>Compte de résultat: Reprises sur provisions et transferts de charges Année N</v>
      </c>
    </row>
    <row r="314" spans="2:16" x14ac:dyDescent="0.2">
      <c r="G314" s="70" t="str">
        <f>INDEX(Calculs,$E$2,302)</f>
        <v>Passif (bilan):Autres Année N-1</v>
      </c>
      <c r="I314" s="7">
        <f t="shared" si="20"/>
        <v>0</v>
      </c>
      <c r="J314" s="7">
        <f t="shared" si="19"/>
        <v>0</v>
      </c>
      <c r="L314" s="163" t="str">
        <f>IFERROR(VLOOKUP(D314,Transco!B:E,4,FALSE),"")</f>
        <v/>
      </c>
      <c r="M314" s="7" t="str">
        <f>IFERROR(VLOOKUP(J314,Transco!B:E,4,FALSE),"")</f>
        <v/>
      </c>
      <c r="N314" s="7" t="str">
        <f>IFERROR(VLOOKUP(K314,Transco!B:E,4,FALSE),"")</f>
        <v/>
      </c>
      <c r="O314" s="85" t="s">
        <v>3131</v>
      </c>
      <c r="P314" s="7" t="str">
        <f>INDEX(Calculs,$E$2,265)</f>
        <v>Compte de résultat: Salaires et traitements Année N</v>
      </c>
    </row>
    <row r="315" spans="2:16" ht="13.5" thickBot="1" x14ac:dyDescent="0.25">
      <c r="B315" s="111" t="s">
        <v>1774</v>
      </c>
      <c r="C315" s="112"/>
      <c r="D315" s="113" t="s">
        <v>557</v>
      </c>
      <c r="E315" s="112" t="str">
        <f>INDEX(Calculs,$E$2,165)</f>
        <v>Compte de résultat (suite):- RESULTAT EXCEPTIONNEL (VII - VIII) Année N</v>
      </c>
      <c r="F315" s="126" t="str">
        <f>INDEX(Calculs,$E$2,165)</f>
        <v>Compte de résultat (suite):- RESULTAT EXCEPTIONNEL (VII - VIII) Année N</v>
      </c>
      <c r="G315" s="126" t="str">
        <f>INDEX(Calculs,$E$2,166)</f>
        <v>Compte de résultat (suite):- RESULTAT EXCEPTIONNEL (VII - VIII) Année N-1</v>
      </c>
      <c r="I315" s="7" t="str">
        <f t="shared" si="20"/>
        <v>HI</v>
      </c>
      <c r="J315" s="7" t="str">
        <f t="shared" si="19"/>
        <v>HI</v>
      </c>
      <c r="K315" s="7" t="str">
        <f>D315&amp;"(N1)"</f>
        <v>HI(N1)</v>
      </c>
      <c r="L315" s="163" t="str">
        <f>IFERROR(VLOOKUP(D315,Transco!B:E,4,FALSE),"")</f>
        <v>=INDEX(Liste;$E$2;165)</v>
      </c>
      <c r="M315" s="7" t="str">
        <f>IFERROR(VLOOKUP(J315,Transco!B:E,4,FALSE),"")</f>
        <v>=INDEX(Liste;$E$2;165)</v>
      </c>
      <c r="N315" s="7" t="str">
        <f>IFERROR(VLOOKUP(K315,Transco!B:E,4,FALSE),"")</f>
        <v>=INDEX(Liste;$E$2;166)</v>
      </c>
      <c r="O315" s="85" t="s">
        <v>3132</v>
      </c>
      <c r="P315" s="7" t="str">
        <f>INDEX(Calculs,$E$2,266)</f>
        <v>Compte de résultat: Salaires et traitements Année N-1</v>
      </c>
    </row>
    <row r="316" spans="2:16" x14ac:dyDescent="0.2">
      <c r="B316" s="59"/>
      <c r="C316" s="59"/>
      <c r="D316" s="59"/>
      <c r="E316" s="60"/>
      <c r="F316" s="72"/>
      <c r="G316" s="72" t="str">
        <f>INDEX(Calculs,$E$2,302)</f>
        <v>Passif (bilan):Autres Année N-1</v>
      </c>
      <c r="I316" s="7">
        <f t="shared" si="20"/>
        <v>0</v>
      </c>
      <c r="J316" s="7">
        <f t="shared" si="19"/>
        <v>0</v>
      </c>
      <c r="L316" s="163" t="str">
        <f>IFERROR(VLOOKUP(D316,Transco!B:E,4,FALSE),"")</f>
        <v/>
      </c>
      <c r="M316" s="7" t="str">
        <f>IFERROR(VLOOKUP(J316,Transco!B:E,4,FALSE),"")</f>
        <v/>
      </c>
      <c r="N316" s="7" t="str">
        <f>IFERROR(VLOOKUP(K316,Transco!B:E,4,FALSE),"")</f>
        <v/>
      </c>
      <c r="O316" s="85" t="s">
        <v>3133</v>
      </c>
      <c r="P316" s="7" t="str">
        <f>INDEX(Calculs,$E$2,267)</f>
        <v>Compte de résultat: Subventions d'exploitation Année N</v>
      </c>
    </row>
    <row r="317" spans="2:16" x14ac:dyDescent="0.2">
      <c r="G317" s="70" t="str">
        <f>INDEX(Calculs,$E$2,302)</f>
        <v>Passif (bilan):Autres Année N-1</v>
      </c>
      <c r="I317" s="7">
        <f t="shared" si="20"/>
        <v>0</v>
      </c>
      <c r="J317" s="7">
        <f t="shared" si="19"/>
        <v>0</v>
      </c>
      <c r="L317" s="163" t="str">
        <f>IFERROR(VLOOKUP(D317,Transco!B:E,4,FALSE),"")</f>
        <v/>
      </c>
      <c r="M317" s="7" t="str">
        <f>IFERROR(VLOOKUP(J317,Transco!B:E,4,FALSE),"")</f>
        <v/>
      </c>
      <c r="N317" s="7" t="str">
        <f>IFERROR(VLOOKUP(K317,Transco!B:E,4,FALSE),"")</f>
        <v/>
      </c>
      <c r="O317" s="85" t="s">
        <v>3134</v>
      </c>
      <c r="P317" s="7" t="str">
        <f>INDEX(Calculs,$E$2,268)</f>
        <v>Compte de résultat: Subventions d'exploitation Année N-1</v>
      </c>
    </row>
    <row r="318" spans="2:16" x14ac:dyDescent="0.2">
      <c r="B318" s="39" t="s">
        <v>1775</v>
      </c>
      <c r="C318" s="40"/>
      <c r="D318" s="41" t="s">
        <v>575</v>
      </c>
      <c r="E318" s="40" t="str">
        <f>INDEX(Calculs,$E$2,183)</f>
        <v>Compte de résultat (suite):Participation des salariés aux résultats de l� entreprise Année N</v>
      </c>
      <c r="F318" s="57" t="str">
        <f>INDEX(Calculs,$E$2,183)</f>
        <v>Compte de résultat (suite):Participation des salariés aux résultats de l� entreprise Année N</v>
      </c>
      <c r="G318" s="57" t="str">
        <f>INDEX(Calculs,$E$2,184)</f>
        <v>Compte de résultat (suite):Participation des salariés aux résultats de l� entreprise Année N-1</v>
      </c>
      <c r="I318" s="7" t="str">
        <f t="shared" si="20"/>
        <v>HJ</v>
      </c>
      <c r="J318" s="7" t="str">
        <f t="shared" si="19"/>
        <v>HJ</v>
      </c>
      <c r="K318" s="7" t="str">
        <f>D318&amp;"(N1)"</f>
        <v>HJ(N1)</v>
      </c>
      <c r="L318" s="163" t="str">
        <f>IFERROR(VLOOKUP(D318,Transco!B:E,4,FALSE),"")</f>
        <v>=INDEX(Liste;$E$2;183)</v>
      </c>
      <c r="M318" s="7" t="str">
        <f>IFERROR(VLOOKUP(J318,Transco!B:E,4,FALSE),"")</f>
        <v>=INDEX(Liste;$E$2;183)</v>
      </c>
      <c r="N318" s="7" t="str">
        <f>IFERROR(VLOOKUP(K318,Transco!B:E,4,FALSE),"")</f>
        <v>=INDEX(Liste;$E$2;184)</v>
      </c>
      <c r="O318" s="85" t="s">
        <v>3135</v>
      </c>
      <c r="P318" s="7" t="str">
        <f>INDEX(Calculs,$E$2,269)</f>
        <v>Compte de résultat: Total des charges d'exploitation (II) Année N</v>
      </c>
    </row>
    <row r="319" spans="2:16" ht="13.5" thickBot="1" x14ac:dyDescent="0.25">
      <c r="B319" s="39" t="s">
        <v>1776</v>
      </c>
      <c r="C319" s="40"/>
      <c r="D319" s="41" t="s">
        <v>571</v>
      </c>
      <c r="E319" s="40" t="str">
        <f>INDEX(Calculs,$E$2,179)</f>
        <v>Compte de résultat (suite):Impo��ts sur les bénéfices Année N</v>
      </c>
      <c r="F319" s="57" t="str">
        <f>INDEX(Calculs,$E$2,179)</f>
        <v>Compte de résultat (suite):Impo��ts sur les bénéfices Année N</v>
      </c>
      <c r="G319" s="57" t="str">
        <f>INDEX(Calculs,$E$2,180)</f>
        <v>Compte de résultat (suite):Impo��ts sur les bénéfices Année N-1</v>
      </c>
      <c r="I319" s="7" t="str">
        <f t="shared" si="20"/>
        <v>HK</v>
      </c>
      <c r="J319" s="7" t="str">
        <f t="shared" si="19"/>
        <v>HK</v>
      </c>
      <c r="K319" s="7" t="str">
        <f>D319&amp;"(N1)"</f>
        <v>HK(N1)</v>
      </c>
      <c r="L319" s="163" t="str">
        <f>IFERROR(VLOOKUP(D319,Transco!B:E,4,FALSE),"")</f>
        <v>=INDEX(Liste;$E$2;179)</v>
      </c>
      <c r="M319" s="7" t="str">
        <f>IFERROR(VLOOKUP(J319,Transco!B:E,4,FALSE),"")</f>
        <v>=INDEX(Liste;$E$2;179)</v>
      </c>
      <c r="N319" s="7" t="str">
        <f>IFERROR(VLOOKUP(K319,Transco!B:E,4,FALSE),"")</f>
        <v>=INDEX(Liste;$E$2;180)</v>
      </c>
      <c r="O319" s="85" t="s">
        <v>3136</v>
      </c>
      <c r="P319" s="7" t="str">
        <f>INDEX(Calculs,$E$2,270)</f>
        <v>Compte de résultat: Total des charges d'exploitation (II) Année N-1</v>
      </c>
    </row>
    <row r="320" spans="2:16" x14ac:dyDescent="0.2">
      <c r="B320" s="59"/>
      <c r="C320" s="59"/>
      <c r="D320" s="59"/>
      <c r="E320" s="60"/>
      <c r="F320" s="72"/>
      <c r="G320" s="72" t="str">
        <f>INDEX(Calculs,$E$2,302)</f>
        <v>Passif (bilan):Autres Année N-1</v>
      </c>
      <c r="I320" s="7">
        <f t="shared" si="20"/>
        <v>0</v>
      </c>
      <c r="J320" s="7">
        <f t="shared" si="19"/>
        <v>0</v>
      </c>
      <c r="L320" s="163" t="str">
        <f>IFERROR(VLOOKUP(D320,Transco!B:E,4,FALSE),"")</f>
        <v/>
      </c>
      <c r="M320" s="7" t="str">
        <f>IFERROR(VLOOKUP(J320,Transco!B:E,4,FALSE),"")</f>
        <v/>
      </c>
      <c r="N320" s="7" t="str">
        <f>IFERROR(VLOOKUP(K320,Transco!B:E,4,FALSE),"")</f>
        <v/>
      </c>
      <c r="O320" s="85" t="s">
        <v>3137</v>
      </c>
      <c r="P320" s="7" t="str">
        <f>INDEX(Calculs,$E$2,271)</f>
        <v>Compte de résultat: Total des charges financiéres (VI) Année N</v>
      </c>
    </row>
    <row r="321" spans="2:16" x14ac:dyDescent="0.2">
      <c r="G321" s="70" t="str">
        <f>INDEX(Calculs,$E$2,302)</f>
        <v>Passif (bilan):Autres Année N-1</v>
      </c>
      <c r="I321" s="7">
        <f t="shared" si="20"/>
        <v>0</v>
      </c>
      <c r="J321" s="7">
        <f t="shared" si="19"/>
        <v>0</v>
      </c>
      <c r="L321" s="163" t="str">
        <f>IFERROR(VLOOKUP(D321,Transco!B:E,4,FALSE),"")</f>
        <v/>
      </c>
      <c r="M321" s="7" t="str">
        <f>IFERROR(VLOOKUP(J321,Transco!B:E,4,FALSE),"")</f>
        <v/>
      </c>
      <c r="N321" s="7" t="str">
        <f>IFERROR(VLOOKUP(K321,Transco!B:E,4,FALSE),"")</f>
        <v/>
      </c>
      <c r="O321" s="85" t="s">
        <v>309</v>
      </c>
      <c r="P321" s="7" t="str">
        <f>INDEX(Calculs,$E$2,272)</f>
        <v>Compte de résultat: Total des charges financiéres (VI) Année N-1</v>
      </c>
    </row>
    <row r="322" spans="2:16" x14ac:dyDescent="0.2">
      <c r="B322" s="143" t="s">
        <v>1777</v>
      </c>
      <c r="C322" s="43"/>
      <c r="D322" s="44"/>
      <c r="F322" s="74"/>
      <c r="G322" s="70" t="str">
        <f>INDEX(Calculs,$E$2,302)</f>
        <v>Passif (bilan):Autres Année N-1</v>
      </c>
      <c r="I322" s="7">
        <f t="shared" si="20"/>
        <v>0</v>
      </c>
      <c r="J322" s="7">
        <f t="shared" si="19"/>
        <v>0</v>
      </c>
      <c r="L322" s="163" t="str">
        <f>IFERROR(VLOOKUP(D322,Transco!B:E,4,FALSE),"")</f>
        <v/>
      </c>
      <c r="M322" s="7" t="str">
        <f>IFERROR(VLOOKUP(J322,Transco!B:E,4,FALSE),"")</f>
        <v/>
      </c>
      <c r="N322" s="7" t="str">
        <f>IFERROR(VLOOKUP(K322,Transco!B:E,4,FALSE),"")</f>
        <v/>
      </c>
      <c r="O322" s="85" t="s">
        <v>3138</v>
      </c>
      <c r="P322" s="7" t="str">
        <f>INDEX(Calculs,$E$2,273)</f>
        <v>Compte de résultat: Total des produits d'exploitation (I) Année N</v>
      </c>
    </row>
    <row r="323" spans="2:16" x14ac:dyDescent="0.2">
      <c r="B323" s="46" t="s">
        <v>1778</v>
      </c>
      <c r="C323" s="40"/>
      <c r="D323" s="47" t="s">
        <v>569</v>
      </c>
      <c r="E323" s="40" t="str">
        <f>INDEX(Calculs,$E$2,177)</f>
        <v>Compte de résultat (suite):Impo��ts différés Année N</v>
      </c>
      <c r="F323" s="57" t="str">
        <f>INDEX(Calculs,$E$2,177)</f>
        <v>Compte de résultat (suite):Impo��ts différés Année N</v>
      </c>
      <c r="G323" s="57" t="str">
        <f>INDEX(Calculs,$E$2,178)</f>
        <v>Compte de résultat (suite):Impo��ts différés Année N-1</v>
      </c>
      <c r="I323" s="7" t="str">
        <f t="shared" si="20"/>
        <v>CO1R</v>
      </c>
      <c r="J323" s="7" t="str">
        <f t="shared" si="19"/>
        <v>CO1R</v>
      </c>
      <c r="K323" s="7" t="str">
        <f t="shared" ref="K323:K330" si="21">D323&amp;"(N1)"</f>
        <v>CO1R(N1)</v>
      </c>
      <c r="L323" s="163" t="str">
        <f>IFERROR(VLOOKUP(D323,Transco!B:E,4,FALSE),"")</f>
        <v>=INDEX(Liste;$E$2;177)</v>
      </c>
      <c r="M323" s="7" t="str">
        <f>IFERROR(VLOOKUP(J323,Transco!B:E,4,FALSE),"")</f>
        <v>=INDEX(Liste;$E$2;177)</v>
      </c>
      <c r="N323" s="7" t="str">
        <f>IFERROR(VLOOKUP(K323,Transco!B:E,4,FALSE),"")</f>
        <v>=INDEX(Liste;$E$2;178)</v>
      </c>
      <c r="O323" s="85" t="s">
        <v>3139</v>
      </c>
      <c r="P323" s="7" t="str">
        <f>INDEX(Calculs,$E$2,274)</f>
        <v>Compte de résultat: Total des produits d'exploitation (I) Année N-1</v>
      </c>
    </row>
    <row r="324" spans="2:16" x14ac:dyDescent="0.2">
      <c r="B324" s="46" t="s">
        <v>1779</v>
      </c>
      <c r="C324" s="40"/>
      <c r="D324" s="47" t="s">
        <v>559</v>
      </c>
      <c r="E324" s="40" t="str">
        <f>INDEX(Calculs,$E$2,167)</f>
        <v>Compte de résultat (suite):- RESULTAT NET AVANT AMORTISSEMENT DES ECARTS d'ACQUISITION Année N</v>
      </c>
      <c r="F324" s="57" t="str">
        <f>INDEX(Calculs,$E$2,167)</f>
        <v>Compte de résultat (suite):- RESULTAT NET AVANT AMORTISSEMENT DES ECARTS d'ACQUISITION Année N</v>
      </c>
      <c r="G324" s="57" t="str">
        <f>INDEX(Calculs,$E$2,168)</f>
        <v>Compte de résultat (suite):- RESULTAT NET AVANT AMORTISSEMENT DES ECARTS d'ACQUISITION Année N-1</v>
      </c>
      <c r="I324" s="7" t="str">
        <f t="shared" si="20"/>
        <v>CO2R</v>
      </c>
      <c r="J324" s="7" t="str">
        <f t="shared" si="19"/>
        <v>CO2R</v>
      </c>
      <c r="K324" s="7" t="str">
        <f t="shared" si="21"/>
        <v>CO2R(N1)</v>
      </c>
      <c r="L324" s="163" t="str">
        <f>IFERROR(VLOOKUP(D324,Transco!B:E,4,FALSE),"")</f>
        <v>=INDEX(Liste;$E$2;167)</v>
      </c>
      <c r="M324" s="7" t="str">
        <f>IFERROR(VLOOKUP(J324,Transco!B:E,4,FALSE),"")</f>
        <v>=INDEX(Liste;$E$2;167)</v>
      </c>
      <c r="N324" s="7" t="str">
        <f>IFERROR(VLOOKUP(K324,Transco!B:E,4,FALSE),"")</f>
        <v>=INDEX(Liste;$E$2;168)</v>
      </c>
      <c r="O324" s="85" t="s">
        <v>3140</v>
      </c>
      <c r="P324" s="7" t="str">
        <f>INDEX(Calculs,$E$2,275)</f>
        <v>Compte de résultat: Total des produits financiers (V) Année N</v>
      </c>
    </row>
    <row r="325" spans="2:16" x14ac:dyDescent="0.2">
      <c r="B325" s="46" t="s">
        <v>1780</v>
      </c>
      <c r="C325" s="40"/>
      <c r="D325" s="47" t="s">
        <v>565</v>
      </c>
      <c r="E325" s="40" t="str">
        <f>INDEX(Calculs,$E$2,173)</f>
        <v>Compte de résultat (suite):Dotation aux amortissements des écarts d'acquisition Année N</v>
      </c>
      <c r="F325" s="57" t="str">
        <f>INDEX(Calculs,$E$2,173)</f>
        <v>Compte de résultat (suite):Dotation aux amortissements des écarts d'acquisition Année N</v>
      </c>
      <c r="G325" s="57" t="str">
        <f>INDEX(Calculs,$E$2,174)</f>
        <v>Compte de résultat (suite):Dotation aux amortissements des écarts d'acquisition Année N-1</v>
      </c>
      <c r="I325" s="7" t="str">
        <f t="shared" si="20"/>
        <v>CO3R</v>
      </c>
      <c r="J325" s="7" t="str">
        <f t="shared" si="19"/>
        <v>CO3R</v>
      </c>
      <c r="K325" s="7" t="str">
        <f t="shared" si="21"/>
        <v>CO3R(N1)</v>
      </c>
      <c r="L325" s="163" t="str">
        <f>IFERROR(VLOOKUP(D325,Transco!B:E,4,FALSE),"")</f>
        <v>=INDEX(Liste;$E$2;173)</v>
      </c>
      <c r="M325" s="7" t="str">
        <f>IFERROR(VLOOKUP(J325,Transco!B:E,4,FALSE),"")</f>
        <v>=INDEX(Liste;$E$2;173)</v>
      </c>
      <c r="N325" s="7" t="str">
        <f>IFERROR(VLOOKUP(K325,Transco!B:E,4,FALSE),"")</f>
        <v>=INDEX(Liste;$E$2;174)</v>
      </c>
      <c r="O325" s="85" t="s">
        <v>313</v>
      </c>
      <c r="P325" s="7" t="str">
        <f>INDEX(Calculs,$E$2,276)</f>
        <v>Compte de résultat: Total des produits financiers (V) Année N-1</v>
      </c>
    </row>
    <row r="326" spans="2:16" x14ac:dyDescent="0.2">
      <c r="B326" s="46" t="s">
        <v>1781</v>
      </c>
      <c r="C326" s="40"/>
      <c r="D326" s="47" t="s">
        <v>591</v>
      </c>
      <c r="E326" s="40" t="str">
        <f>INDEX(Calculs,$E$2,199)</f>
        <v>Compte de résultat (suite):Résultat net des sociétés mises en équivalence Année N</v>
      </c>
      <c r="F326" s="57" t="str">
        <f>INDEX(Calculs,$E$2,199)</f>
        <v>Compte de résultat (suite):Résultat net des sociétés mises en équivalence Année N</v>
      </c>
      <c r="G326" s="57" t="str">
        <f>INDEX(Calculs,$E$2,200)</f>
        <v>Compte de résultat (suite):Résultat net des sociétés mises en équivalence Année N-1</v>
      </c>
      <c r="I326" s="7" t="str">
        <f t="shared" si="20"/>
        <v>CO4R</v>
      </c>
      <c r="J326" s="7" t="str">
        <f t="shared" si="19"/>
        <v>CO4R</v>
      </c>
      <c r="K326" s="7" t="str">
        <f t="shared" si="21"/>
        <v>CO4R(N1)</v>
      </c>
      <c r="L326" s="163" t="str">
        <f>IFERROR(VLOOKUP(D326,Transco!B:E,4,FALSE),"")</f>
        <v>=INDEX(Liste;$E$2;199)</v>
      </c>
      <c r="M326" s="7" t="str">
        <f>IFERROR(VLOOKUP(J326,Transco!B:E,4,FALSE),"")</f>
        <v>=INDEX(Liste;$E$2;199)</v>
      </c>
      <c r="N326" s="7" t="str">
        <f>IFERROR(VLOOKUP(K326,Transco!B:E,4,FALSE),"")</f>
        <v>=INDEX(Liste;$E$2;200)</v>
      </c>
      <c r="O326" s="85" t="s">
        <v>3141</v>
      </c>
      <c r="P326" s="7" t="str">
        <f>INDEX(Calculs,$E$2,277)</f>
        <v>Compte de résultat: Variation de stock (marchandises) Année N</v>
      </c>
    </row>
    <row r="327" spans="2:16" x14ac:dyDescent="0.2">
      <c r="B327" s="46" t="s">
        <v>1782</v>
      </c>
      <c r="C327" s="40"/>
      <c r="D327" s="47" t="s">
        <v>589</v>
      </c>
      <c r="E327" s="40" t="str">
        <f>INDEX(Calculs,$E$2,197)</f>
        <v>Compte de résultat (suite):Résultat net des entreprises intégrées Année N</v>
      </c>
      <c r="F327" s="57" t="str">
        <f>INDEX(Calculs,$E$2,197)</f>
        <v>Compte de résultat (suite):Résultat net des entreprises intégrées Année N</v>
      </c>
      <c r="G327" s="57" t="str">
        <f>INDEX(Calculs,$E$2,198)</f>
        <v>Compte de résultat (suite):Résultat net des entreprises intégrées Année N-1</v>
      </c>
      <c r="I327" s="7" t="str">
        <f t="shared" si="20"/>
        <v>CO5R</v>
      </c>
      <c r="J327" s="7" t="str">
        <f t="shared" si="19"/>
        <v>CO5R</v>
      </c>
      <c r="K327" s="7" t="str">
        <f t="shared" si="21"/>
        <v>CO5R(N1)</v>
      </c>
      <c r="L327" s="163" t="str">
        <f>IFERROR(VLOOKUP(D327,Transco!B:E,4,FALSE),"")</f>
        <v>=INDEX(Liste;$E$2;197)</v>
      </c>
      <c r="M327" s="7" t="str">
        <f>IFERROR(VLOOKUP(J327,Transco!B:E,4,FALSE),"")</f>
        <v>=INDEX(Liste;$E$2;197)</v>
      </c>
      <c r="N327" s="7" t="str">
        <f>IFERROR(VLOOKUP(K327,Transco!B:E,4,FALSE),"")</f>
        <v>=INDEX(Liste;$E$2;198)</v>
      </c>
      <c r="O327" s="85" t="s">
        <v>3142</v>
      </c>
      <c r="P327" s="7" t="str">
        <f>INDEX(Calculs,$E$2,278)</f>
        <v>Compte de résultat: Variation de stock (marchandises) Année N-1</v>
      </c>
    </row>
    <row r="328" spans="2:16" x14ac:dyDescent="0.2">
      <c r="B328" s="111" t="s">
        <v>1783</v>
      </c>
      <c r="C328" s="112"/>
      <c r="D328" s="113" t="s">
        <v>587</v>
      </c>
      <c r="E328" s="112" t="str">
        <f>INDEX(Calculs,$E$2,195)</f>
        <v>Compte de résultat (suite):Résultat Groupe (Résultat net consolidé) Année N</v>
      </c>
      <c r="F328" s="126" t="str">
        <f>INDEX(Calculs,$E$2,195)</f>
        <v>Compte de résultat (suite):Résultat Groupe (Résultat net consolidé) Année N</v>
      </c>
      <c r="G328" s="126" t="str">
        <f>INDEX(Calculs,$E$2,196)</f>
        <v>Compte de résultat (suite):Résultat Groupe (Résultat net consolidé) Année N-1</v>
      </c>
      <c r="I328" s="7" t="str">
        <f t="shared" si="20"/>
        <v>CO6R</v>
      </c>
      <c r="J328" s="7" t="str">
        <f t="shared" si="19"/>
        <v>CO6R</v>
      </c>
      <c r="K328" s="7" t="str">
        <f t="shared" si="21"/>
        <v>CO6R(N1)</v>
      </c>
      <c r="L328" s="163" t="str">
        <f>IFERROR(VLOOKUP(D328,Transco!B:E,4,FALSE),"")</f>
        <v>=INDEX(Liste;$E$2;195)</v>
      </c>
      <c r="M328" s="7" t="str">
        <f>IFERROR(VLOOKUP(J328,Transco!B:E,4,FALSE),"")</f>
        <v>=INDEX(Liste;$E$2;195)</v>
      </c>
      <c r="N328" s="7" t="str">
        <f>IFERROR(VLOOKUP(K328,Transco!B:E,4,FALSE),"")</f>
        <v>=INDEX(Liste;$E$2;196)</v>
      </c>
      <c r="O328" s="85" t="s">
        <v>3143</v>
      </c>
      <c r="P328" s="7" t="str">
        <f>INDEX(Calculs,$E$2,279)</f>
        <v>Compte de résultat: Variation de stock (matiéres premiéres et approvisionnements) Année N</v>
      </c>
    </row>
    <row r="329" spans="2:16" x14ac:dyDescent="0.2">
      <c r="B329" s="46" t="s">
        <v>1784</v>
      </c>
      <c r="C329" s="40"/>
      <c r="D329" s="47" t="s">
        <v>573</v>
      </c>
      <c r="E329" s="40" t="str">
        <f>INDEX(Calculs,$E$2,181)</f>
        <v>Compte de résultat (suite):Part des intéré�ts minoritaires (Résultat hors groupe) Année N</v>
      </c>
      <c r="F329" s="57" t="str">
        <f>INDEX(Calculs,$E$2,181)</f>
        <v>Compte de résultat (suite):Part des intéré�ts minoritaires (Résultat hors groupe) Année N</v>
      </c>
      <c r="G329" s="57" t="str">
        <f>INDEX(Calculs,$E$2,182)</f>
        <v>Compte de résultat (suite):Part des intéré�ts minoritaires (Résultat hors groupe) Année N-1</v>
      </c>
      <c r="I329" s="7" t="str">
        <f t="shared" si="20"/>
        <v>CO7R</v>
      </c>
      <c r="J329" s="7" t="str">
        <f t="shared" si="19"/>
        <v>CO7R</v>
      </c>
      <c r="K329" s="7" t="str">
        <f t="shared" si="21"/>
        <v>CO7R(N1)</v>
      </c>
      <c r="L329" s="163" t="str">
        <f>IFERROR(VLOOKUP(D329,Transco!B:E,4,FALSE),"")</f>
        <v>=INDEX(Liste;$E$2;181)</v>
      </c>
      <c r="M329" s="7" t="str">
        <f>IFERROR(VLOOKUP(J329,Transco!B:E,4,FALSE),"")</f>
        <v>=INDEX(Liste;$E$2;181)</v>
      </c>
      <c r="N329" s="7" t="str">
        <f>IFERROR(VLOOKUP(K329,Transco!B:E,4,FALSE),"")</f>
        <v>=INDEX(Liste;$E$2;182)</v>
      </c>
      <c r="O329" s="85" t="s">
        <v>317</v>
      </c>
      <c r="P329" s="7" t="str">
        <f>INDEX(Calculs,$E$2,280)</f>
        <v>Compte de résultat: Variation de stock (matiéres premiéres et approvisionnements) Année N-1</v>
      </c>
    </row>
    <row r="330" spans="2:16" x14ac:dyDescent="0.2">
      <c r="B330" s="46" t="s">
        <v>1785</v>
      </c>
      <c r="C330" s="40"/>
      <c r="D330" s="47" t="s">
        <v>593</v>
      </c>
      <c r="E330" s="40" t="str">
        <f>INDEX(Calculs,$E$2,201)</f>
        <v>Compte de résultat (suite):Résultat net part du groupe (part de la société mére) Année N</v>
      </c>
      <c r="F330" s="57" t="str">
        <f>INDEX(Calculs,$E$2,201)</f>
        <v>Compte de résultat (suite):Résultat net part du groupe (part de la société mére) Année N</v>
      </c>
      <c r="G330" s="57" t="str">
        <f>INDEX(Calculs,$E$2,202)</f>
        <v>Compte de résultat (suite):Résultat net part du groupe (part de la société mére) Année N-1</v>
      </c>
      <c r="I330" s="7" t="str">
        <f t="shared" si="20"/>
        <v>CO8R</v>
      </c>
      <c r="J330" s="7" t="str">
        <f t="shared" si="19"/>
        <v>CO8R</v>
      </c>
      <c r="K330" s="7" t="str">
        <f t="shared" si="21"/>
        <v>CO8R(N1)</v>
      </c>
      <c r="L330" s="163" t="str">
        <f>IFERROR(VLOOKUP(D330,Transco!B:E,4,FALSE),"")</f>
        <v>=INDEX(Liste;$E$2;201)</v>
      </c>
      <c r="M330" s="7" t="str">
        <f>IFERROR(VLOOKUP(J330,Transco!B:E,4,FALSE),"")</f>
        <v>=INDEX(Liste;$E$2;201)</v>
      </c>
      <c r="N330" s="7" t="str">
        <f>IFERROR(VLOOKUP(K330,Transco!B:E,4,FALSE),"")</f>
        <v>=INDEX(Liste;$E$2;202)</v>
      </c>
      <c r="O330" s="85" t="s">
        <v>3144</v>
      </c>
      <c r="P330" s="7" t="str">
        <f>INDEX(Calculs,$E$2,281)</f>
        <v>Compte de résultat:Chiffres d'affaires nets Export année N</v>
      </c>
    </row>
    <row r="331" spans="2:16" x14ac:dyDescent="0.2">
      <c r="B331" s="42"/>
      <c r="C331" s="43"/>
      <c r="D331" s="44"/>
      <c r="F331" s="74"/>
      <c r="G331" s="70" t="str">
        <f>INDEX(Calculs,$E$2,302)</f>
        <v>Passif (bilan):Autres Année N-1</v>
      </c>
      <c r="I331" s="7">
        <f t="shared" si="20"/>
        <v>0</v>
      </c>
      <c r="J331" s="7">
        <f t="shared" si="19"/>
        <v>0</v>
      </c>
      <c r="L331" s="163" t="str">
        <f>IFERROR(VLOOKUP(D331,Transco!B:E,4,FALSE),"")</f>
        <v/>
      </c>
      <c r="M331" s="7" t="str">
        <f>IFERROR(VLOOKUP(J331,Transco!B:E,4,FALSE),"")</f>
        <v/>
      </c>
      <c r="N331" s="7" t="str">
        <f>IFERROR(VLOOKUP(K331,Transco!B:E,4,FALSE),"")</f>
        <v/>
      </c>
      <c r="O331" s="85" t="s">
        <v>3145</v>
      </c>
      <c r="P331" s="7" t="str">
        <f>INDEX(Calculs,$E$2,282)</f>
        <v>Compte de résultat:Chiffres d'affaires nets France Année N</v>
      </c>
    </row>
    <row r="332" spans="2:16" x14ac:dyDescent="0.2">
      <c r="B332" s="144" t="s">
        <v>1786</v>
      </c>
      <c r="C332" s="144"/>
      <c r="D332" s="145"/>
      <c r="F332" s="141"/>
      <c r="G332" s="70" t="str">
        <f>INDEX(Calculs,$E$2,302)</f>
        <v>Passif (bilan):Autres Année N-1</v>
      </c>
      <c r="I332" s="7">
        <f t="shared" si="20"/>
        <v>0</v>
      </c>
      <c r="J332" s="7">
        <f t="shared" si="19"/>
        <v>0</v>
      </c>
      <c r="L332" s="163" t="str">
        <f>IFERROR(VLOOKUP(D332,Transco!B:E,4,FALSE),"")</f>
        <v/>
      </c>
      <c r="M332" s="7" t="str">
        <f>IFERROR(VLOOKUP(J332,Transco!B:E,4,FALSE),"")</f>
        <v/>
      </c>
      <c r="N332" s="7" t="str">
        <f>IFERROR(VLOOKUP(K332,Transco!B:E,4,FALSE),"")</f>
        <v/>
      </c>
      <c r="O332" s="85" t="s">
        <v>3146</v>
      </c>
      <c r="P332" s="7" t="str">
        <f>INDEX(Calculs,$E$2,283)</f>
        <v>Compte de résultat:Chiffres d'affaires nets Total année N</v>
      </c>
    </row>
    <row r="333" spans="2:16" x14ac:dyDescent="0.2">
      <c r="B333" s="39" t="s">
        <v>1787</v>
      </c>
      <c r="C333" s="40"/>
      <c r="D333" s="41" t="s">
        <v>583</v>
      </c>
      <c r="E333" s="40" t="str">
        <f>INDEX(Calculs,$E$2,191)</f>
        <v>Compte de résultat (suite):Renvois : Crédit-bail mobilier Année N</v>
      </c>
      <c r="F333" s="57" t="str">
        <f>INDEX(Calculs,$E$2,191)</f>
        <v>Compte de résultat (suite):Renvois : Crédit-bail mobilier Année N</v>
      </c>
      <c r="G333" s="57" t="str">
        <f>INDEX(Calculs,$E$2,192)</f>
        <v>Compte de résultat (suite):Renvois : Crédit-bail mobilier Année N-1</v>
      </c>
      <c r="I333" s="7" t="str">
        <f t="shared" si="20"/>
        <v>HP</v>
      </c>
      <c r="J333" s="7" t="str">
        <f t="shared" si="19"/>
        <v>HP</v>
      </c>
      <c r="K333" s="7" t="str">
        <f>D333&amp;"(N1)"</f>
        <v>HP(N1)</v>
      </c>
      <c r="L333" s="163" t="str">
        <f>IFERROR(VLOOKUP(D333,Transco!B:E,4,FALSE),"")</f>
        <v>=INDEX(Liste;$E$2;191)</v>
      </c>
      <c r="M333" s="7" t="str">
        <f>IFERROR(VLOOKUP(J333,Transco!B:E,4,FALSE),"")</f>
        <v>=INDEX(Liste;$E$2;191)</v>
      </c>
      <c r="N333" s="7" t="str">
        <f>IFERROR(VLOOKUP(K333,Transco!B:E,4,FALSE),"")</f>
        <v>=INDEX(Liste;$E$2;192)</v>
      </c>
      <c r="O333" s="85" t="s">
        <v>3147</v>
      </c>
      <c r="P333" s="7" t="str">
        <f>INDEX(Calculs,$E$2,284)</f>
        <v>Compte de résultat:Chiffres d'affaires nets Total année N-1</v>
      </c>
    </row>
    <row r="334" spans="2:16" ht="13.5" thickBot="1" x14ac:dyDescent="0.25">
      <c r="B334" s="39" t="s">
        <v>1788</v>
      </c>
      <c r="C334" s="40"/>
      <c r="D334" s="41" t="s">
        <v>581</v>
      </c>
      <c r="E334" s="40" t="str">
        <f>INDEX(Calculs,$E$2,189)</f>
        <v>Compte de résultat (suite):Renvois : Crédit-bail immobilier Année N</v>
      </c>
      <c r="F334" s="57" t="str">
        <f>INDEX(Calculs,$E$2,189)</f>
        <v>Compte de résultat (suite):Renvois : Crédit-bail immobilier Année N</v>
      </c>
      <c r="G334" s="57" t="str">
        <f>INDEX(Calculs,$E$2,190)</f>
        <v>Compte de résultat (suite):Renvois : Crédit-bail immobilier Année N-1</v>
      </c>
      <c r="I334" s="7" t="str">
        <f t="shared" si="20"/>
        <v>HQ</v>
      </c>
      <c r="J334" s="7" t="str">
        <f t="shared" si="19"/>
        <v>HQ</v>
      </c>
      <c r="K334" s="7" t="str">
        <f>D334&amp;"(N1)"</f>
        <v>HQ(N1)</v>
      </c>
      <c r="L334" s="163" t="str">
        <f>IFERROR(VLOOKUP(D334,Transco!B:E,4,FALSE),"")</f>
        <v>=INDEX(Liste;$E$2;189)</v>
      </c>
      <c r="M334" s="7" t="str">
        <f>IFERROR(VLOOKUP(J334,Transco!B:E,4,FALSE),"")</f>
        <v>=INDEX(Liste;$E$2;189)</v>
      </c>
      <c r="N334" s="7" t="str">
        <f>IFERROR(VLOOKUP(K334,Transco!B:E,4,FALSE),"")</f>
        <v>=INDEX(Liste;$E$2;190)</v>
      </c>
      <c r="O334" s="85" t="s">
        <v>3148</v>
      </c>
      <c r="P334" s="7" t="str">
        <f>INDEX(Calculs,$E$2,285)</f>
        <v>Compte de résultat:Production vendue biens Export année N</v>
      </c>
    </row>
    <row r="335" spans="2:16" x14ac:dyDescent="0.2">
      <c r="B335" s="59"/>
      <c r="C335" s="59"/>
      <c r="D335" s="59"/>
      <c r="E335" s="60"/>
      <c r="F335" s="72"/>
      <c r="G335" s="72"/>
      <c r="I335" s="7">
        <f t="shared" si="20"/>
        <v>0</v>
      </c>
      <c r="J335" s="7">
        <f t="shared" si="19"/>
        <v>0</v>
      </c>
      <c r="M335" s="7"/>
      <c r="O335" s="85" t="s">
        <v>3149</v>
      </c>
      <c r="P335" s="7" t="str">
        <f>INDEX(Calculs,$E$2,286)</f>
        <v>Compte de résultat:Production vendue biens France Année N</v>
      </c>
    </row>
    <row r="336" spans="2:16" x14ac:dyDescent="0.2">
      <c r="M336" s="7"/>
      <c r="O336" s="85" t="s">
        <v>3150</v>
      </c>
      <c r="P336" s="7" t="str">
        <f>INDEX(Calculs,$E$2,287)</f>
        <v>Compte de résultat:Production vendue biens Total année N</v>
      </c>
    </row>
    <row r="337" spans="2:16" x14ac:dyDescent="0.2">
      <c r="M337" s="7"/>
      <c r="O337" s="85" t="s">
        <v>3151</v>
      </c>
      <c r="P337" s="7" t="str">
        <f>INDEX(Calculs,$E$2,288)</f>
        <v>Compte de résultat:Production vendue biens Total année N-1</v>
      </c>
    </row>
    <row r="338" spans="2:16" x14ac:dyDescent="0.2">
      <c r="M338" s="7"/>
      <c r="O338" s="85" t="s">
        <v>3152</v>
      </c>
      <c r="P338" s="7" t="str">
        <f>INDEX(Calculs,$E$2,289)</f>
        <v>Compte de résultat:Production vendue services Export année N</v>
      </c>
    </row>
    <row r="339" spans="2:16" x14ac:dyDescent="0.2">
      <c r="M339" s="7"/>
      <c r="O339" s="85" t="s">
        <v>3153</v>
      </c>
      <c r="P339" s="7" t="str">
        <f>INDEX(Calculs,$E$2,290)</f>
        <v>Compte de résultat:Production vendue services France Année N</v>
      </c>
    </row>
    <row r="340" spans="2:16" x14ac:dyDescent="0.2">
      <c r="M340" s="7"/>
      <c r="O340" s="85" t="s">
        <v>3154</v>
      </c>
      <c r="P340" s="7" t="str">
        <f>INDEX(Calculs,$E$2,291)</f>
        <v>Compte de résultat:Production vendue services Total année N</v>
      </c>
    </row>
    <row r="341" spans="2:16" x14ac:dyDescent="0.2">
      <c r="M341" s="7"/>
      <c r="O341" s="85" t="s">
        <v>3155</v>
      </c>
      <c r="P341" s="7" t="str">
        <f>INDEX(Calculs,$E$2,292)</f>
        <v>Compte de résultat:Production vendue services Total année N-1</v>
      </c>
    </row>
    <row r="342" spans="2:16" x14ac:dyDescent="0.2">
      <c r="M342" s="7"/>
      <c r="O342" s="85" t="s">
        <v>3156</v>
      </c>
      <c r="P342" s="7" t="str">
        <f>INDEX(Calculs,$E$2,293)</f>
        <v>Compte de résultat:Ventes de marchandises Export année N</v>
      </c>
    </row>
    <row r="343" spans="2:16" x14ac:dyDescent="0.2">
      <c r="M343" s="7"/>
      <c r="O343" s="85" t="s">
        <v>3157</v>
      </c>
      <c r="P343" s="7" t="str">
        <f>INDEX(Calculs,$E$2,294)</f>
        <v>Compte de résultat:Ventes de marchandises France Année N</v>
      </c>
    </row>
    <row r="344" spans="2:16" x14ac:dyDescent="0.2">
      <c r="B344" s="38"/>
      <c r="C344" s="38"/>
      <c r="D344" s="103"/>
      <c r="F344" s="142"/>
      <c r="M344" s="7"/>
      <c r="O344" s="85" t="s">
        <v>3158</v>
      </c>
      <c r="P344" s="7" t="str">
        <f>INDEX(Calculs,$E$2,295)</f>
        <v>Compte de résultat:Ventes de marchandises Total année N</v>
      </c>
    </row>
    <row r="345" spans="2:16" x14ac:dyDescent="0.2">
      <c r="M345" s="7"/>
      <c r="O345" s="85" t="s">
        <v>3159</v>
      </c>
      <c r="P345" s="7" t="str">
        <f>INDEX(Calculs,$E$2,296)</f>
        <v>Compte de résultat:Ventes de marchandises Total année N-1</v>
      </c>
    </row>
    <row r="346" spans="2:16" x14ac:dyDescent="0.2">
      <c r="M346" s="7"/>
      <c r="O346" s="85" t="s">
        <v>3160</v>
      </c>
      <c r="P346" s="7" t="str">
        <f>INDEX(Calculs,$E$2,297)</f>
        <v>Passif (bilan): (V) Année N</v>
      </c>
    </row>
    <row r="347" spans="2:16" x14ac:dyDescent="0.2">
      <c r="M347" s="7"/>
      <c r="O347" s="85" t="s">
        <v>3161</v>
      </c>
      <c r="P347" s="7" t="str">
        <f>INDEX(Calculs,$E$2,298)</f>
        <v>Passif (bilan): (V) Année N-1</v>
      </c>
    </row>
    <row r="348" spans="2:16" x14ac:dyDescent="0.2">
      <c r="M348" s="7"/>
      <c r="O348" s="85" t="s">
        <v>3162</v>
      </c>
      <c r="P348" s="7" t="str">
        <f>INDEX(Calculs,$E$2,299)</f>
        <v>Passif (bilan):(dont écart d'équivalence) Année N</v>
      </c>
    </row>
    <row r="349" spans="2:16" x14ac:dyDescent="0.2">
      <c r="M349" s="7"/>
      <c r="O349" s="85" t="s">
        <v>3163</v>
      </c>
      <c r="P349" s="7" t="str">
        <f>INDEX(Calculs,$E$2,300)</f>
        <v>Passif (bilan):(dont écart d'équivalence) Année N-1</v>
      </c>
    </row>
    <row r="350" spans="2:16" x14ac:dyDescent="0.2">
      <c r="M350" s="7"/>
      <c r="O350" s="85" t="s">
        <v>3164</v>
      </c>
      <c r="P350" s="7" t="str">
        <f>INDEX(Calculs,$E$2,301)</f>
        <v>Passif (bilan):Autres Année N</v>
      </c>
    </row>
    <row r="351" spans="2:16" x14ac:dyDescent="0.2">
      <c r="M351" s="7"/>
      <c r="O351" s="85" t="s">
        <v>3165</v>
      </c>
      <c r="P351" s="7" t="str">
        <f>INDEX(Calculs,$E$2,302)</f>
        <v>Passif (bilan):Autres Année N-1</v>
      </c>
    </row>
    <row r="352" spans="2:16" x14ac:dyDescent="0.2">
      <c r="M352" s="7"/>
      <c r="O352" s="85" t="s">
        <v>3166</v>
      </c>
      <c r="P352" s="7" t="str">
        <f>INDEX(Calculs,$E$2,303)</f>
        <v>Passif (bilan):Autres dettes Année N</v>
      </c>
    </row>
    <row r="353" spans="13:16" x14ac:dyDescent="0.2">
      <c r="M353" s="7"/>
      <c r="O353" s="85" t="s">
        <v>3167</v>
      </c>
      <c r="P353" s="7" t="str">
        <f>INDEX(Calculs,$E$2,304)</f>
        <v>Passif (bilan):Autres dettes Année N-1</v>
      </c>
    </row>
    <row r="354" spans="13:16" x14ac:dyDescent="0.2">
      <c r="M354" s="7"/>
      <c r="O354" s="85" t="s">
        <v>3168</v>
      </c>
      <c r="P354" s="7" t="str">
        <f>INDEX(Calculs,$E$2,305)</f>
        <v>Passif (bilan):Autres emprunts obligataires Année N</v>
      </c>
    </row>
    <row r="355" spans="13:16" x14ac:dyDescent="0.2">
      <c r="M355" s="7"/>
      <c r="O355" s="85" t="s">
        <v>3169</v>
      </c>
      <c r="P355" s="7" t="str">
        <f>INDEX(Calculs,$E$2,306)</f>
        <v>Passif (bilan):Autres emprunts obligataires Année N-1</v>
      </c>
    </row>
    <row r="356" spans="13:16" x14ac:dyDescent="0.2">
      <c r="M356" s="7"/>
      <c r="O356" s="85" t="s">
        <v>3170</v>
      </c>
      <c r="P356" s="7" t="str">
        <f>INDEX(Calculs,$E$2,307)</f>
        <v>Passif (bilan):Autres réserves Année N</v>
      </c>
    </row>
    <row r="357" spans="13:16" x14ac:dyDescent="0.2">
      <c r="M357" s="7"/>
      <c r="O357" s="85" t="s">
        <v>3171</v>
      </c>
      <c r="P357" s="7" t="str">
        <f>INDEX(Calculs,$E$2,308)</f>
        <v>Passif (bilan):Autres réserves Année N-1</v>
      </c>
    </row>
    <row r="358" spans="13:16" x14ac:dyDescent="0.2">
      <c r="M358" s="7"/>
      <c r="O358" s="85" t="s">
        <v>3172</v>
      </c>
      <c r="P358" s="7" t="str">
        <f>INDEX(Calculs,$E$2,309)</f>
        <v>Passif (bilan):Avances conditionnées Année N</v>
      </c>
    </row>
    <row r="359" spans="13:16" x14ac:dyDescent="0.2">
      <c r="M359" s="7"/>
      <c r="O359" s="85" t="s">
        <v>3173</v>
      </c>
      <c r="P359" s="7" t="str">
        <f>INDEX(Calculs,$E$2,310)</f>
        <v>Passif (bilan):Avances conditionnées Année N-1</v>
      </c>
    </row>
    <row r="360" spans="13:16" x14ac:dyDescent="0.2">
      <c r="M360" s="7"/>
      <c r="O360" s="85" t="s">
        <v>3174</v>
      </c>
      <c r="P360" s="7" t="str">
        <f>INDEX(Calculs,$E$2,311)</f>
        <v>Passif (bilan):Avances et acomptes rec'�us sur commandes en cours Année N</v>
      </c>
    </row>
    <row r="361" spans="13:16" x14ac:dyDescent="0.2">
      <c r="M361" s="7"/>
      <c r="O361" s="85" t="s">
        <v>3175</v>
      </c>
      <c r="P361" s="7" t="str">
        <f>INDEX(Calculs,$E$2,312)</f>
        <v>Passif (bilan):Avances et acomptes rec'�us sur commandes en cours Année N-1</v>
      </c>
    </row>
    <row r="362" spans="13:16" x14ac:dyDescent="0.2">
      <c r="M362" s="7"/>
      <c r="O362" s="85" t="s">
        <v>3176</v>
      </c>
      <c r="P362" s="7" t="str">
        <f>INDEX(Calculs,$E$2,313)</f>
        <v>Passif (bilan):Capital social ou individuel Année N</v>
      </c>
    </row>
    <row r="363" spans="13:16" x14ac:dyDescent="0.2">
      <c r="M363" s="7"/>
      <c r="O363" s="85" t="s">
        <v>3177</v>
      </c>
      <c r="P363" s="7" t="str">
        <f>INDEX(Calculs,$E$2,314)</f>
        <v>Passif (bilan):Capital social ou individuel Année N-1</v>
      </c>
    </row>
    <row r="364" spans="13:16" x14ac:dyDescent="0.2">
      <c r="M364" s="7"/>
      <c r="O364" s="85" t="s">
        <v>3178</v>
      </c>
      <c r="P364" s="7" t="str">
        <f>INDEX(Calculs,$E$2,315)</f>
        <v>Passif (bilan):Dans les réserves Année N</v>
      </c>
    </row>
    <row r="365" spans="13:16" x14ac:dyDescent="0.2">
      <c r="M365" s="7"/>
      <c r="O365" s="85" t="s">
        <v>3179</v>
      </c>
      <c r="P365" s="7" t="str">
        <f>INDEX(Calculs,$E$2,316)</f>
        <v>Passif (bilan):Dans les réserves Année N-1</v>
      </c>
    </row>
    <row r="366" spans="13:16" x14ac:dyDescent="0.2">
      <c r="M366" s="7"/>
      <c r="O366" s="85" t="s">
        <v>3180</v>
      </c>
      <c r="P366" s="7" t="str">
        <f>INDEX(Calculs,$E$2,317)</f>
        <v>Passif (bilan):Dans les résultats Année N</v>
      </c>
    </row>
    <row r="367" spans="13:16" x14ac:dyDescent="0.2">
      <c r="M367" s="7"/>
      <c r="O367" s="85" t="s">
        <v>3181</v>
      </c>
      <c r="P367" s="7" t="str">
        <f>INDEX(Calculs,$E$2,318)</f>
        <v>Passif (bilan):Dans les résultats Année N-1</v>
      </c>
    </row>
    <row r="368" spans="13:16" x14ac:dyDescent="0.2">
      <c r="M368" s="7"/>
      <c r="O368" s="85" t="s">
        <v>3182</v>
      </c>
      <c r="P368" s="7" t="str">
        <f>INDEX(Calculs,$E$2,319)</f>
        <v>Passif (bilan):Dettes et produits constatés d'avance à moins d'un an Année N</v>
      </c>
    </row>
    <row r="369" spans="13:16" x14ac:dyDescent="0.2">
      <c r="M369" s="7"/>
      <c r="O369" s="85" t="s">
        <v>3183</v>
      </c>
      <c r="P369" s="7" t="str">
        <f>INDEX(Calculs,$E$2,320)</f>
        <v>Passif (bilan):Dettes et produits constatés d'avance à moins d'un an Année N-1</v>
      </c>
    </row>
    <row r="370" spans="13:16" x14ac:dyDescent="0.2">
      <c r="M370" s="7"/>
      <c r="O370" s="85" t="s">
        <v>3184</v>
      </c>
      <c r="P370" s="7" t="str">
        <f>INDEX(Calculs,$E$2,321)</f>
        <v>Passif (bilan):Dettes fiscales et sociales Année N</v>
      </c>
    </row>
    <row r="371" spans="13:16" x14ac:dyDescent="0.2">
      <c r="M371" s="7"/>
      <c r="O371" s="85" t="s">
        <v>3185</v>
      </c>
      <c r="P371" s="7" t="str">
        <f>INDEX(Calculs,$E$2,322)</f>
        <v>Passif (bilan):Dettes fiscales et sociales Année N-1</v>
      </c>
    </row>
    <row r="372" spans="13:16" x14ac:dyDescent="0.2">
      <c r="M372" s="7"/>
      <c r="O372" s="85" t="s">
        <v>3186</v>
      </c>
      <c r="P372" s="7" t="str">
        <f>INDEX(Calculs,$E$2,323)</f>
        <v>Passif (bilan):Dettes fournisseurs et comptes rattachés Année N</v>
      </c>
    </row>
    <row r="373" spans="13:16" x14ac:dyDescent="0.2">
      <c r="M373" s="7"/>
      <c r="O373" s="85" t="s">
        <v>3187</v>
      </c>
      <c r="P373" s="7" t="str">
        <f>INDEX(Calculs,$E$2,324)</f>
        <v>Passif (bilan):Dettes fournisseurs et comptes rattachés Année N-1</v>
      </c>
    </row>
    <row r="374" spans="13:16" x14ac:dyDescent="0.2">
      <c r="M374" s="7"/>
      <c r="O374" s="85" t="s">
        <v>3188</v>
      </c>
      <c r="P374" s="7" t="str">
        <f>INDEX(Calculs,$E$2,325)</f>
        <v>Passif (bilan):Dettes sur immobilisations et comptes rattachés Année N</v>
      </c>
    </row>
    <row r="375" spans="13:16" x14ac:dyDescent="0.2">
      <c r="M375" s="7"/>
      <c r="O375" s="85" t="s">
        <v>3189</v>
      </c>
      <c r="P375" s="7" t="str">
        <f>INDEX(Calculs,$E$2,326)</f>
        <v>Passif (bilan):Dettes sur immobilisations et comptes rattachés Année N-1</v>
      </c>
    </row>
    <row r="376" spans="13:16" x14ac:dyDescent="0.2">
      <c r="M376" s="7"/>
      <c r="O376" s="85" t="s">
        <v>3190</v>
      </c>
      <c r="P376" s="7" t="str">
        <f>INDEX(Calculs,$E$2,327)</f>
        <v>Passif (bilan):Dont concours bancaires courants, et soldes créditeurs de banques et C.C.P. Année N</v>
      </c>
    </row>
    <row r="377" spans="13:16" x14ac:dyDescent="0.2">
      <c r="M377" s="7"/>
      <c r="O377" s="85" t="s">
        <v>3191</v>
      </c>
      <c r="P377" s="7" t="str">
        <f>INDEX(Calculs,$E$2,328)</f>
        <v>Passif (bilan):Dont concours bancaires courants, et soldes créditeurs de banques et C.C.P. Année N-1</v>
      </c>
    </row>
    <row r="378" spans="13:16" x14ac:dyDescent="0.2">
      <c r="M378" s="7"/>
      <c r="O378" s="85" t="s">
        <v>3192</v>
      </c>
      <c r="P378" s="7" t="str">
        <f>INDEX(Calculs,$E$2,329)</f>
        <v>Passif (bilan):Dont emprunts participatifs Année N</v>
      </c>
    </row>
    <row r="379" spans="13:16" x14ac:dyDescent="0.2">
      <c r="M379" s="7"/>
      <c r="O379" s="85" t="s">
        <v>3193</v>
      </c>
      <c r="P379" s="7" t="str">
        <f>INDEX(Calculs,$E$2,330)</f>
        <v>Passif (bilan):Dont emprunts participatifs Année N-1</v>
      </c>
    </row>
    <row r="380" spans="13:16" x14ac:dyDescent="0.2">
      <c r="M380" s="7"/>
      <c r="O380" s="85" t="s">
        <v>3194</v>
      </c>
      <c r="P380" s="7" t="str">
        <f>INDEX(Calculs,$E$2,331)</f>
        <v>Passif (bilan):Dont réserve réglementée des plus-values à long terme Année N</v>
      </c>
    </row>
    <row r="381" spans="13:16" x14ac:dyDescent="0.2">
      <c r="M381" s="7"/>
      <c r="O381" s="85" t="s">
        <v>3195</v>
      </c>
      <c r="P381" s="7" t="str">
        <f>INDEX(Calculs,$E$2,332)</f>
        <v>Passif (bilan):Dont réserve réglementée des plus-values à long terme Année N-1</v>
      </c>
    </row>
    <row r="382" spans="13:16" x14ac:dyDescent="0.2">
      <c r="M382" s="7"/>
      <c r="O382" s="85" t="s">
        <v>3196</v>
      </c>
      <c r="P382" s="7" t="str">
        <f>INDEX(Calculs,$E$2,333)</f>
        <v>Passif (bilan):Ecarts de conversion Année N</v>
      </c>
    </row>
    <row r="383" spans="13:16" x14ac:dyDescent="0.2">
      <c r="M383" s="7"/>
      <c r="O383" s="85" t="s">
        <v>3197</v>
      </c>
      <c r="P383" s="7" t="str">
        <f>INDEX(Calculs,$E$2,334)</f>
        <v>Passif (bilan):Ecarts de conversion Année N-1</v>
      </c>
    </row>
    <row r="384" spans="13:16" x14ac:dyDescent="0.2">
      <c r="M384" s="7"/>
      <c r="O384" s="85" t="s">
        <v>3198</v>
      </c>
      <c r="P384" s="7" t="str">
        <f>INDEX(Calculs,$E$2,335)</f>
        <v>Passif (bilan):Ecarts de réévaluation Année N</v>
      </c>
    </row>
    <row r="385" spans="13:16" x14ac:dyDescent="0.2">
      <c r="M385" s="7"/>
      <c r="O385" s="85" t="s">
        <v>3199</v>
      </c>
      <c r="P385" s="7" t="str">
        <f>INDEX(Calculs,$E$2,336)</f>
        <v>Passif (bilan):Ecarts de réévaluation Année N-1</v>
      </c>
    </row>
    <row r="386" spans="13:16" x14ac:dyDescent="0.2">
      <c r="M386" s="7"/>
      <c r="O386" s="85" t="s">
        <v>3200</v>
      </c>
      <c r="P386" s="7" t="str">
        <f>INDEX(Calculs,$E$2,337)</f>
        <v>Passif (bilan):Ecarts d'acquisition Année N</v>
      </c>
    </row>
    <row r="387" spans="13:16" x14ac:dyDescent="0.2">
      <c r="M387" s="7"/>
      <c r="O387" s="85" t="s">
        <v>3201</v>
      </c>
      <c r="P387" s="7" t="str">
        <f>INDEX(Calculs,$E$2,338)</f>
        <v>Passif (bilan):Ecarts d'acquisition Année N-1</v>
      </c>
    </row>
    <row r="388" spans="13:16" x14ac:dyDescent="0.2">
      <c r="M388" s="7"/>
      <c r="O388" s="85" t="s">
        <v>3202</v>
      </c>
      <c r="P388" s="7" t="str">
        <f>INDEX(Calculs,$E$2,339)</f>
        <v>Passif (bilan):Emprunts et dettes auprés des établissements de crédit (3) Année N</v>
      </c>
    </row>
    <row r="389" spans="13:16" x14ac:dyDescent="0.2">
      <c r="M389" s="7"/>
      <c r="O389" s="85" t="s">
        <v>3203</v>
      </c>
      <c r="P389" s="7" t="str">
        <f>INDEX(Calculs,$E$2,340)</f>
        <v>Passif (bilan):Emprunts et dettes auprés des établissements de crédit (3) Année N-1</v>
      </c>
    </row>
    <row r="390" spans="13:16" x14ac:dyDescent="0.2">
      <c r="M390" s="7"/>
      <c r="O390" s="85" t="s">
        <v>3204</v>
      </c>
      <c r="P390" s="7" t="str">
        <f>INDEX(Calculs,$E$2,341)</f>
        <v>Passif (bilan):Emprunts et dettes financiéres divers (4) Année N</v>
      </c>
    </row>
    <row r="391" spans="13:16" x14ac:dyDescent="0.2">
      <c r="M391" s="7"/>
      <c r="O391" s="85" t="s">
        <v>3205</v>
      </c>
      <c r="P391" s="7" t="str">
        <f>INDEX(Calculs,$E$2,342)</f>
        <v>Passif (bilan):Emprunts et dettes financiéres divers (4) Année N-1</v>
      </c>
    </row>
    <row r="392" spans="13:16" x14ac:dyDescent="0.2">
      <c r="M392" s="7"/>
      <c r="O392" s="85" t="s">
        <v>3206</v>
      </c>
      <c r="P392" s="7" t="str">
        <f>INDEX(Calculs,$E$2,343)</f>
        <v>Passif (bilan):Emprunts obligataires convertibles Année N</v>
      </c>
    </row>
    <row r="393" spans="13:16" x14ac:dyDescent="0.2">
      <c r="M393" s="7"/>
      <c r="O393" s="85" t="s">
        <v>3207</v>
      </c>
      <c r="P393" s="7" t="str">
        <f>INDEX(Calculs,$E$2,344)</f>
        <v>Passif (bilan):Emprunts obligataires convertibles Année N-1</v>
      </c>
    </row>
    <row r="394" spans="13:16" x14ac:dyDescent="0.2">
      <c r="M394" s="7"/>
      <c r="O394" s="85" t="s">
        <v>3208</v>
      </c>
      <c r="P394" s="7" t="str">
        <f>INDEX(Calculs,$E$2,345)</f>
        <v>Passif (bilan):Impo��ts différés Année N</v>
      </c>
    </row>
    <row r="395" spans="13:16" x14ac:dyDescent="0.2">
      <c r="M395" s="7"/>
      <c r="O395" s="85" t="s">
        <v>3209</v>
      </c>
      <c r="P395" s="7" t="str">
        <f>INDEX(Calculs,$E$2,346)</f>
        <v>Passif (bilan):Impo��ts différés Année N-1</v>
      </c>
    </row>
    <row r="396" spans="13:16" x14ac:dyDescent="0.2">
      <c r="M396" s="7"/>
      <c r="O396" s="85" t="s">
        <v>3210</v>
      </c>
      <c r="P396" s="7" t="str">
        <f>INDEX(Calculs,$E$2,347)</f>
        <v>Passif (bilan):Primes d'émission, de fusion, d'apport Année N</v>
      </c>
    </row>
    <row r="397" spans="13:16" x14ac:dyDescent="0.2">
      <c r="M397" s="7"/>
      <c r="O397" s="85" t="s">
        <v>3211</v>
      </c>
      <c r="P397" s="7" t="str">
        <f>INDEX(Calculs,$E$2,348)</f>
        <v>Passif (bilan):Primes d'émission, de fusion, d'apport Année N-1</v>
      </c>
    </row>
    <row r="398" spans="13:16" x14ac:dyDescent="0.2">
      <c r="M398" s="7"/>
      <c r="O398" s="85" t="s">
        <v>3212</v>
      </c>
      <c r="P398" s="7" t="str">
        <f>INDEX(Calculs,$E$2,349)</f>
        <v>Passif (bilan):Produit des émissions de titres participatifs Année N</v>
      </c>
    </row>
    <row r="399" spans="13:16" x14ac:dyDescent="0.2">
      <c r="M399" s="7"/>
      <c r="O399" s="85" t="s">
        <v>3213</v>
      </c>
      <c r="P399" s="7" t="str">
        <f>INDEX(Calculs,$E$2,350)</f>
        <v>Passif (bilan):Produit des émissions de titres participatifs Année N-1</v>
      </c>
    </row>
    <row r="400" spans="13:16" x14ac:dyDescent="0.2">
      <c r="M400" s="7"/>
      <c r="O400" s="85" t="s">
        <v>3214</v>
      </c>
      <c r="P400" s="7" t="str">
        <f>INDEX(Calculs,$E$2,351)</f>
        <v>Passif (bilan):Produits constatés d'avance (2) Année N</v>
      </c>
    </row>
    <row r="401" spans="13:16" x14ac:dyDescent="0.2">
      <c r="M401" s="7"/>
      <c r="O401" s="85" t="s">
        <v>3215</v>
      </c>
      <c r="P401" s="7" t="str">
        <f>INDEX(Calculs,$E$2,352)</f>
        <v>Passif (bilan):Produits constatés d'avance (2) Année N-1</v>
      </c>
    </row>
    <row r="402" spans="13:16" x14ac:dyDescent="0.2">
      <c r="M402" s="7"/>
      <c r="O402" s="85" t="s">
        <v>3216</v>
      </c>
      <c r="P402" s="7" t="str">
        <f>INDEX(Calculs,$E$2,353)</f>
        <v>Passif (bilan):Provisions pour charges Année N</v>
      </c>
    </row>
    <row r="403" spans="13:16" x14ac:dyDescent="0.2">
      <c r="M403" s="7"/>
      <c r="O403" s="85" t="s">
        <v>3217</v>
      </c>
      <c r="P403" s="7" t="str">
        <f>INDEX(Calculs,$E$2,354)</f>
        <v>Passif (bilan):Provisions pour charges Année N-1</v>
      </c>
    </row>
    <row r="404" spans="13:16" x14ac:dyDescent="0.2">
      <c r="M404" s="7"/>
      <c r="O404" s="85" t="s">
        <v>3218</v>
      </c>
      <c r="P404" s="7" t="str">
        <f>INDEX(Calculs,$E$2,355)</f>
        <v>Passif (bilan):Provisions pour risques Année N</v>
      </c>
    </row>
    <row r="405" spans="13:16" x14ac:dyDescent="0.2">
      <c r="M405" s="7"/>
      <c r="O405" s="85" t="s">
        <v>3219</v>
      </c>
      <c r="P405" s="7" t="str">
        <f>INDEX(Calculs,$E$2,356)</f>
        <v>Passif (bilan):Provisions pour risques Année N-1</v>
      </c>
    </row>
    <row r="406" spans="13:16" x14ac:dyDescent="0.2">
      <c r="M406" s="7"/>
      <c r="O406" s="85" t="s">
        <v>3220</v>
      </c>
      <c r="P406" s="7" t="str">
        <f>INDEX(Calculs,$E$2,357)</f>
        <v>Passif (bilan):Provisions réglementées Année N</v>
      </c>
    </row>
    <row r="407" spans="13:16" x14ac:dyDescent="0.2">
      <c r="M407" s="7"/>
      <c r="O407" s="85" t="s">
        <v>3221</v>
      </c>
      <c r="P407" s="7" t="str">
        <f>INDEX(Calculs,$E$2,358)</f>
        <v>Passif (bilan):Provisions réglementées Année N-1</v>
      </c>
    </row>
    <row r="408" spans="13:16" x14ac:dyDescent="0.2">
      <c r="M408" s="7"/>
      <c r="O408" s="85" t="s">
        <v>3222</v>
      </c>
      <c r="P408" s="7" t="str">
        <f>INDEX(Calculs,$E$2,359)</f>
        <v>Passif (bilan):Report à nouveau Année N</v>
      </c>
    </row>
    <row r="409" spans="13:16" x14ac:dyDescent="0.2">
      <c r="M409" s="7"/>
      <c r="O409" s="85" t="s">
        <v>3223</v>
      </c>
      <c r="P409" s="7" t="str">
        <f>INDEX(Calculs,$E$2,360)</f>
        <v>Passif (bilan):Report à nouveau Année N-1</v>
      </c>
    </row>
    <row r="410" spans="13:16" x14ac:dyDescent="0.2">
      <c r="M410" s="7"/>
      <c r="O410" s="85" t="s">
        <v>3224</v>
      </c>
      <c r="P410" s="7" t="str">
        <f>INDEX(Calculs,$E$2,361)</f>
        <v>Passif (bilan):Réserve légale (1) Année N</v>
      </c>
    </row>
    <row r="411" spans="13:16" x14ac:dyDescent="0.2">
      <c r="M411" s="7"/>
      <c r="O411" s="85" t="s">
        <v>3225</v>
      </c>
      <c r="P411" s="7" t="str">
        <f>INDEX(Calculs,$E$2,362)</f>
        <v>Passif (bilan):Réserve légale (1) Année N-1</v>
      </c>
    </row>
    <row r="412" spans="13:16" x14ac:dyDescent="0.2">
      <c r="M412" s="7"/>
      <c r="O412" s="85" t="s">
        <v>3226</v>
      </c>
      <c r="P412" s="7" t="str">
        <f>INDEX(Calculs,$E$2,363)</f>
        <v>Passif (bilan):Réserves réglementées (1) Année N</v>
      </c>
    </row>
    <row r="413" spans="13:16" x14ac:dyDescent="0.2">
      <c r="M413" s="7"/>
      <c r="O413" s="85" t="s">
        <v>3227</v>
      </c>
      <c r="P413" s="7" t="str">
        <f>INDEX(Calculs,$E$2,364)</f>
        <v>Passif (bilan):Réserves réglementées (1) Année N-1</v>
      </c>
    </row>
    <row r="414" spans="13:16" x14ac:dyDescent="0.2">
      <c r="M414" s="7"/>
      <c r="O414" s="85" t="s">
        <v>3228</v>
      </c>
      <c r="P414" s="7" t="str">
        <f>INDEX(Calculs,$E$2,365)</f>
        <v>Passif (bilan):Réserves statutaires ou contractuelles Année N</v>
      </c>
    </row>
    <row r="415" spans="13:16" x14ac:dyDescent="0.2">
      <c r="M415" s="7"/>
      <c r="O415" s="85" t="s">
        <v>3229</v>
      </c>
      <c r="P415" s="7" t="str">
        <f>INDEX(Calculs,$E$2,366)</f>
        <v>Passif (bilan):Réserves statutaires ou contractuelles Année N-1</v>
      </c>
    </row>
    <row r="416" spans="13:16" x14ac:dyDescent="0.2">
      <c r="M416" s="7"/>
      <c r="O416" s="85" t="str">
        <f>LISTE!MJ1</f>
        <v>Passif (bilan):Primes d'émission, de fusion, d'apport Année N-1</v>
      </c>
      <c r="P416" s="7" t="str">
        <f>INDEX(Calculs,$E$2,367)</f>
        <v>Passif (bilan):Résultat consolidé part du groupe Année N</v>
      </c>
    </row>
    <row r="417" spans="13:16" x14ac:dyDescent="0.2">
      <c r="M417" s="7"/>
      <c r="O417" s="85" t="str">
        <f>LISTE!MK1</f>
        <v>Passif (bilan):Produit des émissions de titres participatifs Année N</v>
      </c>
      <c r="P417" s="7" t="str">
        <f>INDEX(Calculs,$E$2,368)</f>
        <v>Passif (bilan):Résultat consolidé part du groupe Année N-1</v>
      </c>
    </row>
    <row r="418" spans="13:16" x14ac:dyDescent="0.2">
      <c r="M418" s="7"/>
      <c r="O418" s="85" t="str">
        <f>LISTE!ML1</f>
        <v>Passif (bilan):Produit des émissions de titres participatifs Année N-1</v>
      </c>
      <c r="P418" s="7" t="str">
        <f>INDEX(Calculs,$E$2,369)</f>
        <v>Passif (bilan):Subventions d'investissement Année N</v>
      </c>
    </row>
    <row r="419" spans="13:16" x14ac:dyDescent="0.2">
      <c r="M419" s="7"/>
      <c r="O419" s="85" t="str">
        <f>LISTE!MM1</f>
        <v>Passif (bilan):Produits constatés d'avance (2) Année N</v>
      </c>
      <c r="P419" s="7" t="str">
        <f>INDEX(Calculs,$E$2,370)</f>
        <v>Passif (bilan):Subventions d'investissement Année N-1</v>
      </c>
    </row>
    <row r="420" spans="13:16" x14ac:dyDescent="0.2">
      <c r="M420" s="7"/>
      <c r="O420" s="85" t="str">
        <f>LISTE!MN1</f>
        <v>Passif (bilan):Produits constatés d'avance (2) Année N-1</v>
      </c>
      <c r="P420" s="7" t="str">
        <f>INDEX(Calculs,$E$2,371)</f>
        <v>Passif (bilan):TOTAL (I) Année N</v>
      </c>
    </row>
    <row r="421" spans="13:16" x14ac:dyDescent="0.2">
      <c r="M421" s="7"/>
      <c r="O421" s="85" t="str">
        <f>LISTE!MO1</f>
        <v>Passif (bilan):Provisions pour charges Année N</v>
      </c>
      <c r="P421" s="7" t="str">
        <f>INDEX(Calculs,$E$2,372)</f>
        <v>Passif (bilan):TOTAL (I) Année N-1</v>
      </c>
    </row>
    <row r="422" spans="13:16" x14ac:dyDescent="0.2">
      <c r="M422" s="7"/>
      <c r="O422" s="85" t="str">
        <f>LISTE!MP1</f>
        <v>Passif (bilan):Provisions pour charges Année N-1</v>
      </c>
      <c r="P422" s="7" t="str">
        <f>INDEX(Calculs,$E$2,373)</f>
        <v>Passif (bilan):TOTAL (II) Année N</v>
      </c>
    </row>
    <row r="423" spans="13:16" x14ac:dyDescent="0.2">
      <c r="M423" s="7"/>
      <c r="O423" s="85" t="str">
        <f>LISTE!MQ1</f>
        <v>Passif (bilan):Provisions pour risques Année N</v>
      </c>
      <c r="P423" s="7" t="str">
        <f>INDEX(Calculs,$E$2,374)</f>
        <v>Passif (bilan):TOTAL (II) Année N-1</v>
      </c>
    </row>
    <row r="424" spans="13:16" x14ac:dyDescent="0.2">
      <c r="M424" s="7"/>
      <c r="O424" s="85" t="str">
        <f>LISTE!MR1</f>
        <v>Passif (bilan):Provisions pour risques Année N-1</v>
      </c>
      <c r="P424" s="7" t="str">
        <f>INDEX(Calculs,$E$2,375)</f>
        <v>Passif (bilan):TOTAL (III) Année N</v>
      </c>
    </row>
    <row r="425" spans="13:16" x14ac:dyDescent="0.2">
      <c r="M425" s="7"/>
      <c r="O425" s="85" t="str">
        <f>LISTE!MS1</f>
        <v>Passif (bilan):Provisions réglementées Année N</v>
      </c>
      <c r="P425" s="7" t="str">
        <f>INDEX(Calculs,$E$2,376)</f>
        <v>Passif (bilan):TOTAL (III) Année N-1</v>
      </c>
    </row>
    <row r="426" spans="13:16" x14ac:dyDescent="0.2">
      <c r="M426" s="7"/>
      <c r="O426" s="85" t="str">
        <f>LISTE!MT1</f>
        <v>Passif (bilan):Provisions réglementées Année N-1</v>
      </c>
      <c r="P426" s="7" t="str">
        <f>INDEX(Calculs,$E$2,377)</f>
        <v>Passif (bilan):TOTAL (IV) Année N</v>
      </c>
    </row>
    <row r="427" spans="13:16" x14ac:dyDescent="0.2">
      <c r="M427" s="7"/>
      <c r="O427" s="85" t="str">
        <f>LISTE!MU1</f>
        <v>Passif (bilan):Report à nouveau Année N</v>
      </c>
      <c r="P427" s="7" t="str">
        <f>INDEX(Calculs,$E$2,378)</f>
        <v>Passif (bilan):TOTAL (IV) Année N-1</v>
      </c>
    </row>
    <row r="428" spans="13:16" x14ac:dyDescent="0.2">
      <c r="M428" s="7"/>
      <c r="O428" s="85" t="str">
        <f>LISTE!MV1</f>
        <v>Passif (bilan):Report à nouveau Année N-1</v>
      </c>
      <c r="P428" s="7" t="str">
        <f>INDEX(Calculs,$E$2,379)</f>
        <v>Passif (bilan):TOTAL GENERAL (I à V) Année N</v>
      </c>
    </row>
    <row r="429" spans="13:16" x14ac:dyDescent="0.2">
      <c r="M429" s="7"/>
      <c r="O429" s="85" t="str">
        <f>LISTE!MW1</f>
        <v>Passif (bilan):Réserve légale (1) Année N</v>
      </c>
      <c r="P429" s="7" t="str">
        <f>INDEX(Calculs,$E$2,380)</f>
        <v>Passif (bilan):TOTAL GENERAL (I à V) Année N-1</v>
      </c>
    </row>
    <row r="430" spans="13:16" x14ac:dyDescent="0.2">
      <c r="M430" s="7"/>
      <c r="O430" s="85" t="str">
        <f>LISTE!MX1</f>
        <v>Passif (bilan):Réserve légale (1) Année N-1</v>
      </c>
      <c r="P430" s="7" t="str">
        <f>INDEX(Calculs,$E$2,381)</f>
        <v>CP VILLE</v>
      </c>
    </row>
    <row r="431" spans="13:16" x14ac:dyDescent="0.2">
      <c r="M431" s="7"/>
      <c r="O431" s="85" t="str">
        <f>LISTE!MY1</f>
        <v>Passif (bilan):Réserves réglementées (1) Année N</v>
      </c>
      <c r="P431" s="7" t="str">
        <f>INDEX(Calculs,$E$2,382)</f>
        <v>CODE NAF</v>
      </c>
    </row>
    <row r="432" spans="13:16" x14ac:dyDescent="0.2">
      <c r="M432" s="7"/>
      <c r="O432" s="85" t="str">
        <f>LISTE!MZ1</f>
        <v>Passif (bilan):Réserves réglementées (1) Année N-1</v>
      </c>
      <c r="P432" s="7" t="str">
        <f>INDEX(Calculs,$E$2,383)</f>
        <v>Confidentialité</v>
      </c>
    </row>
    <row r="433" spans="13:16" x14ac:dyDescent="0.2">
      <c r="M433" s="7"/>
      <c r="O433" s="85" t="str">
        <f>LISTE!NA1</f>
        <v>Passif (bilan):Réserves statutaires ou contractuelles Année N</v>
      </c>
      <c r="P433" s="7" t="str">
        <f>INDEX(Calculs,$E$2,384)</f>
        <v>Code devise</v>
      </c>
    </row>
    <row r="434" spans="13:16" x14ac:dyDescent="0.2">
      <c r="M434" s="7"/>
      <c r="O434" s="85" t="str">
        <f>LISTE!NB1</f>
        <v>Passif (bilan):Réserves statutaires ou contractuelles Année N-1</v>
      </c>
      <c r="P434" s="7" t="str">
        <f>INDEX(Calculs,$E$2,385)</f>
        <v>code_greffe</v>
      </c>
    </row>
    <row r="435" spans="13:16" x14ac:dyDescent="0.2">
      <c r="M435" s="7"/>
      <c r="O435" s="85" t="str">
        <f>LISTE!NC1</f>
        <v>Passif (bilan):Résultat consolidé part du groupe Année N</v>
      </c>
      <c r="P435" s="7" t="str">
        <f>INDEX(Calculs,$E$2,386)</f>
        <v>code_motif</v>
      </c>
    </row>
    <row r="436" spans="13:16" x14ac:dyDescent="0.2">
      <c r="M436" s="7"/>
      <c r="O436" s="85" t="str">
        <f>LISTE!ND1</f>
        <v>Passif (bilan):Résultat consolidé part du groupe Année N-1</v>
      </c>
      <c r="P436" s="7" t="str">
        <f>INDEX(Calculs,$E$2,387)</f>
        <v>code_origine_devise</v>
      </c>
    </row>
    <row r="437" spans="13:16" x14ac:dyDescent="0.2">
      <c r="M437" s="7"/>
      <c r="O437" s="85" t="str">
        <f>LISTE!NE1</f>
        <v>Passif (bilan):Subventions d'investissement Année N</v>
      </c>
      <c r="P437" s="7" t="str">
        <f>INDEX(Calculs,$E$2,388)</f>
        <v>code_type_bilan</v>
      </c>
    </row>
    <row r="438" spans="13:16" x14ac:dyDescent="0.2">
      <c r="M438" s="7"/>
      <c r="O438" s="85" t="str">
        <f>LISTE!NF1</f>
        <v>Passif (bilan):Subventions d'investissement Année N-1</v>
      </c>
      <c r="P438" s="7" t="str">
        <f>INDEX(Calculs,$E$2,389)</f>
        <v>Date de cloture de l'exercice</v>
      </c>
    </row>
    <row r="439" spans="13:16" x14ac:dyDescent="0.2">
      <c r="M439" s="7"/>
      <c r="O439" s="85" t="str">
        <f>LISTE!NG1</f>
        <v>Passif (bilan):TOTAL (I) Année N</v>
      </c>
      <c r="P439" s="7" t="str">
        <f>INDEX(Calculs,$E$2,390)</f>
        <v>Date de cloture de l'exercice n-1</v>
      </c>
    </row>
    <row r="440" spans="13:16" x14ac:dyDescent="0.2">
      <c r="M440" s="7"/>
      <c r="O440" s="85" t="str">
        <f>LISTE!NH1</f>
        <v>Passif (bilan):TOTAL (I) Année N-1</v>
      </c>
      <c r="P440" s="7" t="str">
        <f>INDEX(Calculs,$E$2,391)</f>
        <v>Date de dépôt</v>
      </c>
    </row>
    <row r="441" spans="13:16" x14ac:dyDescent="0.2">
      <c r="M441" s="7"/>
      <c r="O441" s="85" t="str">
        <f>LISTE!NI1</f>
        <v>Passif (bilan):TOTAL (II) Année N</v>
      </c>
      <c r="P441" s="7" t="str">
        <f>INDEX(Calculs,$E$2,392)</f>
        <v>Dénomination</v>
      </c>
    </row>
    <row r="442" spans="13:16" x14ac:dyDescent="0.2">
      <c r="M442" s="7"/>
      <c r="O442" s="85" t="str">
        <f>LISTE!NJ1</f>
        <v>Passif (bilan):TOTAL (II) Année N-1</v>
      </c>
      <c r="P442" s="7" t="str">
        <f>INDEX(Calculs,$E$2,393)</f>
        <v>Durée de l'exercice n</v>
      </c>
    </row>
    <row r="443" spans="13:16" x14ac:dyDescent="0.2">
      <c r="M443" s="7"/>
      <c r="O443" s="85" t="str">
        <f>LISTE!NK1</f>
        <v>Passif (bilan):TOTAL (III) Année N</v>
      </c>
      <c r="P443" s="7" t="str">
        <f>INDEX(Calculs,$E$2,394)</f>
        <v>Durée de l'exercice n-1</v>
      </c>
    </row>
    <row r="444" spans="13:16" x14ac:dyDescent="0.2">
      <c r="M444" s="7"/>
      <c r="O444" s="85" t="str">
        <f>LISTE!NL1</f>
        <v>Passif (bilan):TOTAL (III) Année N-1</v>
      </c>
      <c r="P444" s="7" t="str">
        <f>INDEX(Calculs,$E$2,395)</f>
        <v>Numéro de dépôt</v>
      </c>
    </row>
    <row r="445" spans="13:16" x14ac:dyDescent="0.2">
      <c r="M445" s="7"/>
      <c r="O445" s="85" t="str">
        <f>LISTE!NM1</f>
        <v>Passif (bilan):TOTAL (IV) Année N</v>
      </c>
      <c r="P445" s="7" t="str">
        <f>INDEX(Calculs,$E$2,396)</f>
        <v>Numéro de gestion</v>
      </c>
    </row>
    <row r="446" spans="13:16" x14ac:dyDescent="0.2">
      <c r="M446" s="7"/>
      <c r="O446" s="85" t="str">
        <f>LISTE!NN1</f>
        <v>Passif (bilan):TOTAL (IV) Année N-1</v>
      </c>
      <c r="P446" s="7" t="str">
        <f>INDEX(Calculs,$E$2,397)</f>
        <v>Siren</v>
      </c>
    </row>
    <row r="447" spans="13:16" x14ac:dyDescent="0.2">
      <c r="M447" s="7"/>
      <c r="O447" s="85" t="str">
        <f>LISTE!NO1</f>
        <v>Passif (bilan):TOTAL GENERAL (I à V) Année N</v>
      </c>
      <c r="P447" s="7" t="str">
        <f>INDEX(Calculs,$E$2,398)</f>
        <v>Tribunal de commerce</v>
      </c>
    </row>
    <row r="448" spans="13:16" x14ac:dyDescent="0.2">
      <c r="M448" s="7"/>
      <c r="O448" s="85" t="str">
        <f>LISTE!NP1</f>
        <v>Passif (bilan):TOTAL GENERAL (I à V) Année N-1</v>
      </c>
      <c r="P448" s="7" t="str">
        <f>INDEX(Calculs,$E$2,399)</f>
        <v>Etat saisie</v>
      </c>
    </row>
    <row r="449" spans="13:16" x14ac:dyDescent="0.2">
      <c r="M449" s="7"/>
      <c r="O449" s="82" t="str">
        <f>LISTE!NQ1</f>
        <v>CP VILLE</v>
      </c>
      <c r="P449" s="7" t="s">
        <v>1789</v>
      </c>
    </row>
    <row r="450" spans="13:16" x14ac:dyDescent="0.2">
      <c r="M450" s="7"/>
      <c r="O450" s="82" t="str">
        <f>LISTE!NR1</f>
        <v>CODE NAF</v>
      </c>
    </row>
    <row r="451" spans="13:16" x14ac:dyDescent="0.2">
      <c r="M451" s="7"/>
      <c r="O451" s="82" t="str">
        <f>LISTE!NS1</f>
        <v>Confidentialité</v>
      </c>
    </row>
    <row r="452" spans="13:16" x14ac:dyDescent="0.2">
      <c r="M452" s="7"/>
      <c r="O452" s="82" t="str">
        <f>LISTE!NT1</f>
        <v>Code devise</v>
      </c>
    </row>
    <row r="453" spans="13:16" x14ac:dyDescent="0.2">
      <c r="M453" s="7"/>
      <c r="O453" s="82" t="str">
        <f>LISTE!NU1</f>
        <v>code_greffe</v>
      </c>
    </row>
    <row r="454" spans="13:16" x14ac:dyDescent="0.2">
      <c r="M454" s="7"/>
      <c r="O454" s="82" t="str">
        <f>LISTE!NV1</f>
        <v>code_motif</v>
      </c>
    </row>
    <row r="455" spans="13:16" x14ac:dyDescent="0.2">
      <c r="M455" s="7"/>
      <c r="O455" s="82" t="str">
        <f>LISTE!NW1</f>
        <v>code_origine_devise</v>
      </c>
    </row>
    <row r="456" spans="13:16" x14ac:dyDescent="0.2">
      <c r="M456" s="7"/>
      <c r="O456" s="82" t="str">
        <f>LISTE!NX1</f>
        <v>code_type_bilan</v>
      </c>
    </row>
    <row r="457" spans="13:16" x14ac:dyDescent="0.2">
      <c r="M457" s="7"/>
      <c r="O457" s="82" t="str">
        <f>LISTE!NY1</f>
        <v>Date de cloture de l'exercice</v>
      </c>
    </row>
    <row r="458" spans="13:16" x14ac:dyDescent="0.2">
      <c r="M458" s="7"/>
      <c r="O458" s="82" t="str">
        <f>LISTE!NZ1</f>
        <v>Date de cloture de l'exercice n-1</v>
      </c>
    </row>
    <row r="459" spans="13:16" x14ac:dyDescent="0.2">
      <c r="M459" s="7"/>
      <c r="O459" s="82" t="str">
        <f>LISTE!OA1</f>
        <v>Date de dépôt</v>
      </c>
    </row>
    <row r="460" spans="13:16" x14ac:dyDescent="0.2">
      <c r="M460" s="7"/>
      <c r="O460" s="82" t="str">
        <f>LISTE!OB1</f>
        <v>Dénomination</v>
      </c>
    </row>
    <row r="461" spans="13:16" x14ac:dyDescent="0.2">
      <c r="M461" s="7"/>
      <c r="O461" s="82" t="str">
        <f>LISTE!OC1</f>
        <v>Durée de l'exercice n</v>
      </c>
    </row>
    <row r="462" spans="13:16" x14ac:dyDescent="0.2">
      <c r="M462" s="7"/>
      <c r="O462" s="82" t="str">
        <f>LISTE!OD1</f>
        <v>Durée de l'exercice n-1</v>
      </c>
    </row>
    <row r="463" spans="13:16" x14ac:dyDescent="0.2">
      <c r="M463" s="7"/>
      <c r="O463" s="82" t="str">
        <f>LISTE!OE1</f>
        <v>Numéro de dépôt</v>
      </c>
    </row>
    <row r="464" spans="13:16" x14ac:dyDescent="0.2">
      <c r="M464" s="7"/>
      <c r="O464" s="82" t="str">
        <f>LISTE!OF1</f>
        <v>Numéro de gestion</v>
      </c>
    </row>
    <row r="465" spans="13:15" x14ac:dyDescent="0.2">
      <c r="M465" s="7"/>
      <c r="O465" s="82" t="str">
        <f>LISTE!OG1</f>
        <v>Siren</v>
      </c>
    </row>
  </sheetData>
  <mergeCells count="2">
    <mergeCell ref="E41:F41"/>
    <mergeCell ref="E42:F42"/>
  </mergeCells>
  <pageMargins left="0.23622047244094491" right="0.23622047244094491" top="0.74803149606299213" bottom="0.74803149606299213" header="0.31496062992125984" footer="0.31496062992125984"/>
  <pageSetup paperSize="9" scale="89" orientation="portrait" r:id="rId1"/>
  <headerFooter>
    <oddHeader>&amp;CRapport Consolidé DVDRisk</oddHeader>
    <oddFooter>&amp;C&amp;P/&amp;N&amp;RIDM / ALTARES D</oddFooter>
  </headerFooter>
  <rowBreaks count="3" manualBreakCount="3">
    <brk id="84" max="6" man="1"/>
    <brk id="224" max="6" man="1"/>
    <brk id="276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Drop Down 1">
              <controlPr defaultSize="0" print="0" autoLine="0" autoPict="0">
                <anchor moveWithCells="1">
                  <from>
                    <xdr:col>2</xdr:col>
                    <xdr:colOff>9525</xdr:colOff>
                    <xdr:row>0</xdr:row>
                    <xdr:rowOff>47625</xdr:rowOff>
                  </from>
                  <to>
                    <xdr:col>4</xdr:col>
                    <xdr:colOff>238125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95"/>
  <sheetViews>
    <sheetView tabSelected="1" zoomScale="114" zoomScaleNormal="100" zoomScaleSheetLayoutView="130" workbookViewId="0">
      <pane ySplit="3" topLeftCell="A4" activePane="bottomLeft" state="frozen"/>
      <selection pane="bottomLeft"/>
    </sheetView>
  </sheetViews>
  <sheetFormatPr baseColWidth="10" defaultRowHeight="12.75" x14ac:dyDescent="0.2"/>
  <cols>
    <col min="1" max="1" width="2.85546875" style="22" customWidth="1"/>
    <col min="2" max="2" width="31.28515625" style="22" customWidth="1"/>
    <col min="3" max="4" width="11.85546875" style="22" customWidth="1"/>
    <col min="5" max="5" width="11.85546875" style="91" customWidth="1"/>
    <col min="6" max="6" width="13.42578125" style="70" bestFit="1" customWidth="1"/>
    <col min="7" max="7" width="13.140625" style="70" customWidth="1"/>
    <col min="8" max="8" width="11.42578125" style="5"/>
    <col min="9" max="11" width="0" style="7" hidden="1" customWidth="1"/>
    <col min="12" max="13" width="19.85546875" style="163" hidden="1" customWidth="1"/>
    <col min="14" max="14" width="18.140625" style="7" hidden="1" customWidth="1"/>
    <col min="15" max="15" width="60.85546875" style="82" hidden="1" customWidth="1"/>
    <col min="16" max="16" width="31.28515625" style="7" hidden="1" customWidth="1"/>
    <col min="17" max="24" width="11.42578125" style="22"/>
    <col min="25" max="16384" width="11.42578125" style="23"/>
  </cols>
  <sheetData>
    <row r="1" spans="1:24" s="92" customFormat="1" ht="11.25" customHeight="1" x14ac:dyDescent="0.2">
      <c r="A1" s="22"/>
      <c r="B1" s="22"/>
      <c r="C1" s="22"/>
      <c r="D1" s="22"/>
      <c r="E1" s="91"/>
      <c r="F1" s="70"/>
      <c r="G1" s="70"/>
      <c r="H1" s="22"/>
      <c r="I1" s="7"/>
      <c r="J1" s="7"/>
      <c r="K1" s="7"/>
      <c r="L1" s="163"/>
      <c r="M1" s="163"/>
      <c r="N1" s="7"/>
      <c r="O1" s="82" t="s">
        <v>201</v>
      </c>
      <c r="P1" s="81">
        <f>INDEX(Liste[],$E$2,163)</f>
        <v>0</v>
      </c>
      <c r="Q1" s="22"/>
      <c r="R1" s="22"/>
      <c r="S1" s="22"/>
      <c r="T1" s="22"/>
      <c r="U1" s="22"/>
      <c r="V1" s="22"/>
      <c r="W1" s="22"/>
      <c r="X1" s="22"/>
    </row>
    <row r="2" spans="1:24" s="8" customFormat="1" ht="11.25" customHeight="1" thickBot="1" x14ac:dyDescent="0.25">
      <c r="A2" s="7"/>
      <c r="B2" s="7"/>
      <c r="C2" s="7"/>
      <c r="D2" s="7"/>
      <c r="E2" s="53">
        <v>5</v>
      </c>
      <c r="F2" s="65"/>
      <c r="G2" s="65"/>
      <c r="H2" s="7"/>
      <c r="I2" s="7"/>
      <c r="J2" s="7"/>
      <c r="K2" s="7"/>
      <c r="L2" s="163"/>
      <c r="M2" s="163"/>
      <c r="N2" s="7"/>
      <c r="O2" s="82" t="s">
        <v>205</v>
      </c>
      <c r="P2" s="81">
        <f>INDEX(Liste[],$E$2,167)</f>
        <v>0</v>
      </c>
      <c r="Q2" s="7"/>
      <c r="R2" s="7"/>
      <c r="S2" s="7"/>
      <c r="T2" s="7"/>
      <c r="U2" s="7"/>
      <c r="V2" s="7"/>
      <c r="W2" s="7"/>
      <c r="X2" s="7"/>
    </row>
    <row r="3" spans="1:24" s="92" customFormat="1" ht="15.75" thickBot="1" x14ac:dyDescent="0.25">
      <c r="A3" s="22"/>
      <c r="B3" s="34" t="str">
        <f>INDEX(Liste[],$E$2,2)</f>
        <v>RACE INDUSTRIES - comptes 2017</v>
      </c>
      <c r="C3" s="35"/>
      <c r="D3" s="35"/>
      <c r="E3" s="54"/>
      <c r="F3" s="66"/>
      <c r="G3" s="70"/>
      <c r="H3" s="22"/>
      <c r="I3" s="7"/>
      <c r="J3" s="7"/>
      <c r="K3" s="7"/>
      <c r="L3" s="163"/>
      <c r="M3" s="163"/>
      <c r="N3" s="7"/>
      <c r="O3" s="82" t="s">
        <v>209</v>
      </c>
      <c r="P3" s="81">
        <f>INDEX(Liste[],$E$2,171)</f>
        <v>0</v>
      </c>
      <c r="Q3" s="22"/>
      <c r="R3" s="22"/>
      <c r="S3" s="22"/>
      <c r="T3" s="22"/>
      <c r="U3" s="22"/>
      <c r="V3" s="22"/>
      <c r="W3" s="22"/>
      <c r="X3" s="22"/>
    </row>
    <row r="4" spans="1:24" ht="6" customHeight="1" thickBot="1" x14ac:dyDescent="0.25"/>
    <row r="5" spans="1:24" ht="12" customHeight="1" thickBot="1" x14ac:dyDescent="0.25">
      <c r="B5" s="49" t="s">
        <v>0</v>
      </c>
      <c r="C5" s="88" t="str">
        <f>INDEX(Liste[],$E$2,397)</f>
        <v>811337203</v>
      </c>
      <c r="D5" s="51" t="s">
        <v>1790</v>
      </c>
      <c r="E5" s="88" t="str">
        <f>INDEX(Liste[],$E$2,398)</f>
        <v>NANTERRE</v>
      </c>
      <c r="F5" s="93"/>
      <c r="G5" s="93"/>
      <c r="O5" s="83" t="s">
        <v>13</v>
      </c>
      <c r="P5" s="80" t="s">
        <v>14</v>
      </c>
    </row>
    <row r="6" spans="1:24" ht="12" customHeight="1" x14ac:dyDescent="0.2">
      <c r="B6" s="49" t="s">
        <v>8</v>
      </c>
      <c r="C6" s="50" t="str">
        <f>INDEX(Liste[],$E$2,381)</f>
        <v>92390 VILLENEUVE LA GARENNE</v>
      </c>
      <c r="D6" s="52"/>
      <c r="E6" s="55"/>
      <c r="F6" s="93"/>
      <c r="G6" s="93"/>
      <c r="O6" s="84" t="str">
        <f>LISTE!A1</f>
        <v>N°RCS</v>
      </c>
      <c r="P6" s="81" t="str">
        <f>INDEX(Liste[],$E$2,1)</f>
        <v>811337203</v>
      </c>
    </row>
    <row r="7" spans="1:24" ht="12" customHeight="1" x14ac:dyDescent="0.2">
      <c r="B7" s="49" t="s">
        <v>1</v>
      </c>
      <c r="C7" s="50" t="str">
        <f>INDEX(Liste[],$E$2,382)</f>
        <v>7010Z</v>
      </c>
      <c r="D7" s="50" t="str">
        <f>INDEX(Liste[],$E$2,401)</f>
        <v>Activités des sièges sociaux</v>
      </c>
      <c r="E7" s="55"/>
      <c r="F7" s="93"/>
      <c r="G7" s="93"/>
      <c r="O7" s="84" t="str">
        <f>LISTE!B1</f>
        <v>NOM - DATE</v>
      </c>
      <c r="P7" s="81" t="str">
        <f>INDEX(Liste[],$E$2,2)</f>
        <v>RACE INDUSTRIES - comptes 2017</v>
      </c>
    </row>
    <row r="8" spans="1:24" ht="12" customHeight="1" x14ac:dyDescent="0.2">
      <c r="A8" s="94"/>
      <c r="B8" s="51" t="s">
        <v>1807</v>
      </c>
      <c r="C8" s="50" t="str">
        <f>INDEX(Liste[],$E$2,399)</f>
        <v>SAISIE</v>
      </c>
      <c r="D8" s="52"/>
      <c r="E8" s="95"/>
      <c r="F8" s="93"/>
      <c r="G8" s="93"/>
      <c r="O8" s="84" t="s">
        <v>2879</v>
      </c>
      <c r="P8" s="81">
        <f>INDEX(Liste[],$E$2,3)</f>
        <v>0</v>
      </c>
    </row>
    <row r="9" spans="1:24" ht="12" customHeight="1" x14ac:dyDescent="0.2">
      <c r="A9" s="94"/>
      <c r="B9" s="51" t="s">
        <v>1808</v>
      </c>
      <c r="C9" s="87">
        <f>INDEX(Liste[],$E$2,391)</f>
        <v>43132</v>
      </c>
      <c r="D9" s="51" t="s">
        <v>1811</v>
      </c>
      <c r="E9" s="23" t="str">
        <f>INDEX(Liste[],$E$2,384)</f>
        <v>EUR</v>
      </c>
      <c r="F9" s="67"/>
      <c r="G9" s="96"/>
      <c r="O9" s="84" t="s">
        <v>2900</v>
      </c>
      <c r="P9" s="81">
        <f>INDEX(Liste[],$E$2,4)</f>
        <v>0</v>
      </c>
    </row>
    <row r="10" spans="1:24" ht="12" customHeight="1" x14ac:dyDescent="0.2">
      <c r="A10" s="94"/>
      <c r="B10" s="51"/>
      <c r="C10" s="87"/>
      <c r="D10" s="51"/>
      <c r="E10" s="51"/>
      <c r="F10" s="67"/>
      <c r="G10" s="96"/>
      <c r="O10" s="84"/>
      <c r="P10" s="81"/>
    </row>
    <row r="11" spans="1:24" ht="12" customHeight="1" x14ac:dyDescent="0.2">
      <c r="A11" s="94"/>
      <c r="B11" s="171" t="s">
        <v>3488</v>
      </c>
      <c r="C11" s="203" t="s">
        <v>3449</v>
      </c>
      <c r="D11" s="204" t="s">
        <v>3450</v>
      </c>
      <c r="E11" s="205" t="s">
        <v>3451</v>
      </c>
      <c r="F11" s="67"/>
      <c r="G11" s="96"/>
      <c r="O11" s="84"/>
      <c r="P11" s="81"/>
    </row>
    <row r="12" spans="1:24" ht="12" customHeight="1" x14ac:dyDescent="0.2">
      <c r="A12" s="94"/>
      <c r="B12" s="51"/>
      <c r="C12" s="87"/>
      <c r="D12" s="51"/>
      <c r="E12" s="51"/>
      <c r="F12" s="67"/>
      <c r="G12" s="96"/>
      <c r="O12" s="84"/>
      <c r="P12" s="81"/>
    </row>
    <row r="13" spans="1:24" ht="12" customHeight="1" thickBot="1" x14ac:dyDescent="0.25">
      <c r="A13" s="94"/>
      <c r="B13" s="51"/>
      <c r="C13" s="87"/>
      <c r="D13" s="51"/>
      <c r="E13" s="51"/>
      <c r="F13" s="67"/>
      <c r="G13" s="96"/>
      <c r="O13" s="84"/>
      <c r="P13" s="81"/>
    </row>
    <row r="14" spans="1:24" ht="12" customHeight="1" thickBot="1" x14ac:dyDescent="0.25">
      <c r="A14" s="94"/>
      <c r="B14" s="195" t="s">
        <v>3467</v>
      </c>
      <c r="C14" s="196"/>
      <c r="D14" s="196"/>
      <c r="E14" s="196"/>
      <c r="F14" s="196"/>
      <c r="G14" s="196"/>
      <c r="O14" s="84"/>
      <c r="P14" s="81"/>
    </row>
    <row r="15" spans="1:24" ht="12" customHeight="1" thickBot="1" x14ac:dyDescent="0.25">
      <c r="A15" s="94"/>
      <c r="B15" s="1"/>
      <c r="C15" s="87"/>
      <c r="D15" s="51"/>
      <c r="E15" s="51"/>
      <c r="F15" s="67"/>
      <c r="G15" s="96"/>
      <c r="O15" s="84"/>
      <c r="P15" s="81"/>
    </row>
    <row r="16" spans="1:24" ht="12" customHeight="1" thickBot="1" x14ac:dyDescent="0.25">
      <c r="A16" s="94"/>
      <c r="B16" s="172" t="s">
        <v>3449</v>
      </c>
      <c r="C16" s="182">
        <f>E71</f>
        <v>42978</v>
      </c>
      <c r="D16" s="182">
        <f>G71</f>
        <v>42613</v>
      </c>
      <c r="E16" s="51"/>
      <c r="F16" s="67"/>
      <c r="G16" s="96"/>
      <c r="O16" s="84"/>
      <c r="P16" s="81"/>
    </row>
    <row r="17" spans="1:16" ht="12" customHeight="1" x14ac:dyDescent="0.2">
      <c r="A17" s="94"/>
      <c r="B17" s="173" t="s">
        <v>3452</v>
      </c>
      <c r="C17" s="183">
        <f>E72</f>
        <v>12</v>
      </c>
      <c r="D17" s="184" t="str">
        <f>G72</f>
        <v>00</v>
      </c>
      <c r="E17" s="51"/>
      <c r="F17" s="67"/>
      <c r="G17" s="96"/>
      <c r="O17" s="84"/>
      <c r="P17" s="81"/>
    </row>
    <row r="18" spans="1:16" ht="12" customHeight="1" x14ac:dyDescent="0.2">
      <c r="A18" s="94"/>
      <c r="B18" s="174" t="s">
        <v>3453</v>
      </c>
      <c r="C18" s="177">
        <f>SUM(C19:C21)</f>
        <v>0</v>
      </c>
      <c r="D18" s="177">
        <f>SUM(D19:D21)</f>
        <v>0</v>
      </c>
      <c r="E18" s="207" t="str">
        <f t="shared" ref="E18:E26" si="0">IFERROR((C18/D18)-1,"")</f>
        <v/>
      </c>
      <c r="F18" s="67"/>
      <c r="G18" s="96"/>
      <c r="O18" s="84"/>
      <c r="P18" s="81"/>
    </row>
    <row r="19" spans="1:16" ht="12" customHeight="1" x14ac:dyDescent="0.2">
      <c r="A19" s="94"/>
      <c r="B19" s="175" t="s">
        <v>3454</v>
      </c>
      <c r="C19" s="178">
        <f>SUM(F80:F90)</f>
        <v>0</v>
      </c>
      <c r="D19" s="178">
        <f>SUM(G80:G90)</f>
        <v>0</v>
      </c>
      <c r="E19" s="207" t="str">
        <f t="shared" si="0"/>
        <v/>
      </c>
      <c r="F19" s="67"/>
      <c r="G19" s="96"/>
      <c r="O19" s="84"/>
      <c r="P19" s="81"/>
    </row>
    <row r="20" spans="1:16" ht="12" customHeight="1" x14ac:dyDescent="0.2">
      <c r="A20" s="94"/>
      <c r="B20" s="176" t="s">
        <v>3455</v>
      </c>
      <c r="C20" s="179">
        <f>SUM(F102:F112)</f>
        <v>0</v>
      </c>
      <c r="D20" s="179">
        <f>SUM(G102:G112)</f>
        <v>0</v>
      </c>
      <c r="E20" s="207" t="str">
        <f t="shared" si="0"/>
        <v/>
      </c>
      <c r="F20" s="67"/>
      <c r="G20" s="96"/>
      <c r="O20" s="84"/>
      <c r="P20" s="81"/>
    </row>
    <row r="21" spans="1:16" ht="12" customHeight="1" x14ac:dyDescent="0.2">
      <c r="A21" s="94"/>
      <c r="B21" s="175" t="s">
        <v>3456</v>
      </c>
      <c r="C21" s="178">
        <f>SUM(F116:F126)</f>
        <v>0</v>
      </c>
      <c r="D21" s="178">
        <f>SUM(G116:G126)</f>
        <v>0</v>
      </c>
      <c r="E21" s="207" t="str">
        <f t="shared" si="0"/>
        <v/>
      </c>
      <c r="F21" s="67"/>
      <c r="G21" s="96"/>
      <c r="O21" s="84"/>
      <c r="P21" s="81"/>
    </row>
    <row r="22" spans="1:16" ht="12" customHeight="1" x14ac:dyDescent="0.2">
      <c r="A22" s="94"/>
      <c r="B22" s="176" t="s">
        <v>3468</v>
      </c>
      <c r="C22" s="179">
        <f>SUM(F94:F98)+F130</f>
        <v>20647000</v>
      </c>
      <c r="D22" s="179">
        <f>SUM(G94:G98)+G130</f>
        <v>21652000</v>
      </c>
      <c r="E22" s="207">
        <f t="shared" si="0"/>
        <v>-4.6416035470164374E-2</v>
      </c>
      <c r="F22" s="67"/>
      <c r="G22" s="96"/>
      <c r="O22" s="84"/>
      <c r="P22" s="81"/>
    </row>
    <row r="23" spans="1:16" ht="12" customHeight="1" x14ac:dyDescent="0.2">
      <c r="A23" s="94"/>
      <c r="B23" s="174" t="s">
        <v>3457</v>
      </c>
      <c r="C23" s="177">
        <f>SUM(C24:C26)</f>
        <v>12843000</v>
      </c>
      <c r="D23" s="177">
        <f>SUM(D24:D26)</f>
        <v>17509000</v>
      </c>
      <c r="E23" s="207">
        <f t="shared" si="0"/>
        <v>-0.26649151864755272</v>
      </c>
      <c r="F23" s="67"/>
      <c r="G23" s="96"/>
      <c r="O23" s="84"/>
      <c r="P23" s="81"/>
    </row>
    <row r="24" spans="1:16" ht="12" customHeight="1" x14ac:dyDescent="0.2">
      <c r="A24" s="94"/>
      <c r="B24" s="175" t="s">
        <v>3458</v>
      </c>
      <c r="C24" s="178">
        <f>SUM(F137:F145)</f>
        <v>0</v>
      </c>
      <c r="D24" s="178">
        <f>SUM(G137:G145)</f>
        <v>0</v>
      </c>
      <c r="E24" s="207" t="str">
        <f t="shared" si="0"/>
        <v/>
      </c>
      <c r="F24" s="67"/>
      <c r="G24" s="96"/>
      <c r="O24" s="84"/>
      <c r="P24" s="81"/>
    </row>
    <row r="25" spans="1:16" ht="12" customHeight="1" x14ac:dyDescent="0.2">
      <c r="A25" s="94"/>
      <c r="B25" s="176" t="s">
        <v>3459</v>
      </c>
      <c r="C25" s="179">
        <f>SUM(F149:F157)</f>
        <v>8228000</v>
      </c>
      <c r="D25" s="179">
        <f>SUM(G149:G157)</f>
        <v>3827000</v>
      </c>
      <c r="E25" s="207">
        <f t="shared" si="0"/>
        <v>1.1499869349359813</v>
      </c>
      <c r="F25" s="67"/>
      <c r="G25" s="96"/>
      <c r="O25" s="84"/>
      <c r="P25" s="81"/>
    </row>
    <row r="26" spans="1:16" ht="12" customHeight="1" thickBot="1" x14ac:dyDescent="0.25">
      <c r="A26" s="94"/>
      <c r="B26" s="175" t="s">
        <v>3460</v>
      </c>
      <c r="C26" s="178">
        <f>SUM(F158:F162)</f>
        <v>4615000</v>
      </c>
      <c r="D26" s="178">
        <f>SUM(G158:G162)</f>
        <v>13682000</v>
      </c>
      <c r="E26" s="207">
        <f t="shared" si="0"/>
        <v>-0.66269551235199531</v>
      </c>
      <c r="F26" s="67"/>
      <c r="G26" s="96"/>
      <c r="O26" s="84"/>
      <c r="P26" s="81"/>
    </row>
    <row r="27" spans="1:16" ht="12" customHeight="1" x14ac:dyDescent="0.2">
      <c r="A27" s="94"/>
      <c r="B27" s="172" t="s">
        <v>3450</v>
      </c>
      <c r="C27" s="185">
        <f>C16</f>
        <v>42978</v>
      </c>
      <c r="D27" s="185">
        <f>D16</f>
        <v>42613</v>
      </c>
      <c r="E27" s="51"/>
      <c r="F27" s="67"/>
      <c r="G27" s="96"/>
      <c r="O27" s="84"/>
      <c r="P27" s="81"/>
    </row>
    <row r="28" spans="1:16" ht="12" customHeight="1" x14ac:dyDescent="0.2">
      <c r="A28" s="94"/>
      <c r="B28" s="174" t="s">
        <v>3461</v>
      </c>
      <c r="C28" s="180">
        <f>SUM(C29:C30)</f>
        <v>38056000</v>
      </c>
      <c r="D28" s="180">
        <f>SUM(D29:D30)</f>
        <v>36713000</v>
      </c>
      <c r="E28" s="207">
        <f t="shared" ref="E28:E34" si="1">IFERROR((C28/D28)-1,"")</f>
        <v>3.65810475853241E-2</v>
      </c>
      <c r="F28" s="67"/>
      <c r="G28" s="96"/>
      <c r="O28" s="84"/>
      <c r="P28" s="81"/>
    </row>
    <row r="29" spans="1:16" ht="12" customHeight="1" x14ac:dyDescent="0.2">
      <c r="A29" s="94"/>
      <c r="B29" s="175" t="s">
        <v>3462</v>
      </c>
      <c r="C29" s="178">
        <f>SUM(F182:F194)</f>
        <v>30366000</v>
      </c>
      <c r="D29" s="178">
        <f>SUM(G182:G194)</f>
        <v>28867000</v>
      </c>
      <c r="E29" s="207">
        <f t="shared" si="1"/>
        <v>5.1927806838258261E-2</v>
      </c>
      <c r="F29" s="67"/>
      <c r="G29" s="96"/>
      <c r="O29" s="84"/>
      <c r="P29" s="81"/>
    </row>
    <row r="30" spans="1:16" ht="12" customHeight="1" x14ac:dyDescent="0.2">
      <c r="A30" s="94"/>
      <c r="B30" s="176" t="s">
        <v>3463</v>
      </c>
      <c r="C30" s="179">
        <f>SUM(F220:F223)</f>
        <v>7690000</v>
      </c>
      <c r="D30" s="179">
        <f>SUM(G220:G223)</f>
        <v>7846000</v>
      </c>
      <c r="E30" s="207">
        <f t="shared" si="1"/>
        <v>-1.9882742798878361E-2</v>
      </c>
      <c r="F30" s="67"/>
      <c r="G30" s="96"/>
      <c r="O30" s="84"/>
      <c r="P30" s="81"/>
    </row>
    <row r="31" spans="1:16" ht="12" customHeight="1" x14ac:dyDescent="0.2">
      <c r="A31" s="94"/>
      <c r="B31" s="175" t="s">
        <v>1672</v>
      </c>
      <c r="C31" s="178">
        <f>F208</f>
        <v>0</v>
      </c>
      <c r="D31" s="178">
        <f>G208</f>
        <v>0</v>
      </c>
      <c r="E31" s="207" t="str">
        <f t="shared" si="1"/>
        <v/>
      </c>
      <c r="F31" s="67"/>
      <c r="G31" s="96"/>
      <c r="O31" s="84"/>
      <c r="P31" s="81"/>
    </row>
    <row r="32" spans="1:16" ht="12" customHeight="1" x14ac:dyDescent="0.2">
      <c r="A32" s="94"/>
      <c r="B32" s="174" t="s">
        <v>3464</v>
      </c>
      <c r="C32" s="180">
        <f>SUM(C33:C34)</f>
        <v>3899000</v>
      </c>
      <c r="D32" s="180">
        <f>SUM(D33:D34)</f>
        <v>5291000</v>
      </c>
      <c r="E32" s="207">
        <f t="shared" si="1"/>
        <v>-0.26308826308826305</v>
      </c>
      <c r="F32" s="67"/>
      <c r="G32" s="96"/>
      <c r="O32" s="84"/>
      <c r="P32" s="81"/>
    </row>
    <row r="33" spans="1:16" ht="12" customHeight="1" x14ac:dyDescent="0.2">
      <c r="A33" s="94"/>
      <c r="B33" s="175" t="s">
        <v>3465</v>
      </c>
      <c r="C33" s="178">
        <f>SUM(F226:F231)</f>
        <v>3899000</v>
      </c>
      <c r="D33" s="178">
        <f>SUM(G226:G231)</f>
        <v>5291000</v>
      </c>
      <c r="E33" s="207">
        <f t="shared" si="1"/>
        <v>-0.26308826308826305</v>
      </c>
      <c r="F33" s="67"/>
      <c r="G33" s="96"/>
      <c r="O33" s="84"/>
      <c r="P33" s="81"/>
    </row>
    <row r="34" spans="1:16" ht="12" customHeight="1" x14ac:dyDescent="0.2">
      <c r="A34" s="94"/>
      <c r="B34" s="176" t="s">
        <v>3466</v>
      </c>
      <c r="C34" s="186">
        <f>E249</f>
        <v>0</v>
      </c>
      <c r="D34" s="186">
        <f>F249</f>
        <v>0</v>
      </c>
      <c r="E34" s="207" t="str">
        <f t="shared" si="1"/>
        <v/>
      </c>
      <c r="F34" s="67"/>
      <c r="G34" s="96"/>
      <c r="O34" s="84"/>
      <c r="P34" s="81"/>
    </row>
    <row r="35" spans="1:16" ht="12" customHeight="1" x14ac:dyDescent="0.2">
      <c r="A35" s="94"/>
      <c r="B35" s="51"/>
      <c r="C35" s="87"/>
      <c r="D35" s="51"/>
      <c r="E35" s="51"/>
      <c r="F35" s="67"/>
      <c r="G35" s="96"/>
      <c r="O35" s="84"/>
      <c r="P35" s="81"/>
    </row>
    <row r="36" spans="1:16" ht="12" customHeight="1" thickBot="1" x14ac:dyDescent="0.25">
      <c r="A36" s="94"/>
      <c r="B36" s="51"/>
      <c r="C36" s="87"/>
      <c r="D36" s="51"/>
      <c r="E36" s="51"/>
      <c r="F36" s="67"/>
      <c r="G36" s="96"/>
      <c r="O36" s="84"/>
      <c r="P36" s="81"/>
    </row>
    <row r="37" spans="1:16" ht="12" customHeight="1" x14ac:dyDescent="0.2">
      <c r="A37" s="94"/>
      <c r="B37" s="172" t="s">
        <v>3486</v>
      </c>
      <c r="C37" s="182">
        <f>C16</f>
        <v>42978</v>
      </c>
      <c r="D37" s="182">
        <f>D16</f>
        <v>42613</v>
      </c>
      <c r="E37" s="51"/>
      <c r="F37" s="67"/>
      <c r="G37" s="96"/>
      <c r="O37" s="84"/>
      <c r="P37" s="81"/>
    </row>
    <row r="38" spans="1:16" ht="12" customHeight="1" x14ac:dyDescent="0.2">
      <c r="A38" s="94"/>
      <c r="B38" s="199" t="s">
        <v>3480</v>
      </c>
      <c r="C38" s="178">
        <f>F270</f>
        <v>44307000</v>
      </c>
      <c r="D38" s="178">
        <f>G270</f>
        <v>38189000</v>
      </c>
      <c r="E38" s="207">
        <f>IFERROR((C38/D38)-1,"")</f>
        <v>0.16020319987430942</v>
      </c>
      <c r="F38" s="67"/>
      <c r="G38" s="96"/>
      <c r="O38" s="84"/>
      <c r="P38" s="81"/>
    </row>
    <row r="39" spans="1:16" ht="12" customHeight="1" x14ac:dyDescent="0.2">
      <c r="A39" s="94"/>
      <c r="B39" s="1" t="s">
        <v>3485</v>
      </c>
      <c r="C39" s="178">
        <f>SUM(E274:E278)</f>
        <v>173000</v>
      </c>
      <c r="D39" s="178">
        <f>SUM(F274:F278)</f>
        <v>173000</v>
      </c>
      <c r="E39" s="207">
        <f>IFERROR((C39/D39)-1,"")</f>
        <v>0</v>
      </c>
      <c r="F39" s="67"/>
      <c r="G39" s="96"/>
      <c r="O39" s="84"/>
      <c r="P39" s="81"/>
    </row>
    <row r="40" spans="1:16" ht="12" customHeight="1" x14ac:dyDescent="0.2">
      <c r="A40" s="94"/>
      <c r="B40" s="1" t="s">
        <v>1746</v>
      </c>
      <c r="C40" s="178">
        <f>F302</f>
        <v>35337000</v>
      </c>
      <c r="D40" s="178">
        <f>G302</f>
        <v>31070000</v>
      </c>
      <c r="E40" s="51"/>
      <c r="F40" s="67"/>
      <c r="G40" s="96"/>
      <c r="O40" s="84"/>
      <c r="P40" s="81"/>
    </row>
    <row r="41" spans="1:16" ht="12" customHeight="1" x14ac:dyDescent="0.2">
      <c r="A41" s="94"/>
      <c r="B41" s="200" t="s">
        <v>1747</v>
      </c>
      <c r="C41" s="201">
        <f>C38-C40</f>
        <v>8970000</v>
      </c>
      <c r="D41" s="201">
        <f>D38-D40</f>
        <v>7119000</v>
      </c>
      <c r="E41" s="207">
        <f t="shared" ref="E41:E48" si="2">IFERROR((C41/D41)-1,"")</f>
        <v>0.26000842815002101</v>
      </c>
      <c r="F41" s="67"/>
      <c r="G41" s="96"/>
      <c r="O41" s="84"/>
      <c r="P41" s="81"/>
    </row>
    <row r="42" spans="1:16" ht="12" customHeight="1" x14ac:dyDescent="0.2">
      <c r="A42" s="94"/>
      <c r="B42" s="175" t="s">
        <v>1748</v>
      </c>
      <c r="C42" s="178">
        <f>F317</f>
        <v>4000</v>
      </c>
      <c r="D42" s="178">
        <f>G317</f>
        <v>13000</v>
      </c>
      <c r="E42" s="207">
        <f t="shared" si="2"/>
        <v>-0.69230769230769229</v>
      </c>
      <c r="F42" s="67"/>
      <c r="G42" s="96"/>
      <c r="O42" s="84"/>
      <c r="P42" s="81"/>
    </row>
    <row r="43" spans="1:16" ht="12" customHeight="1" x14ac:dyDescent="0.2">
      <c r="A43" s="94"/>
      <c r="B43" s="175" t="s">
        <v>1758</v>
      </c>
      <c r="C43" s="178">
        <f>SUM(F320:F323)</f>
        <v>0</v>
      </c>
      <c r="D43" s="178">
        <f>SUM(G320:G323)</f>
        <v>0</v>
      </c>
      <c r="E43" s="207" t="str">
        <f t="shared" si="2"/>
        <v/>
      </c>
      <c r="F43" s="67"/>
      <c r="G43" s="96"/>
      <c r="O43" s="84"/>
      <c r="P43" s="81"/>
    </row>
    <row r="44" spans="1:16" ht="12" customHeight="1" x14ac:dyDescent="0.2">
      <c r="A44" s="94"/>
      <c r="B44" s="200" t="s">
        <v>1763</v>
      </c>
      <c r="C44" s="201">
        <f>F325</f>
        <v>-592000</v>
      </c>
      <c r="D44" s="201">
        <f>G325</f>
        <v>-342000</v>
      </c>
      <c r="E44" s="207">
        <f t="shared" si="2"/>
        <v>0.73099415204678353</v>
      </c>
      <c r="F44" s="67"/>
      <c r="G44" s="96"/>
      <c r="O44" s="84"/>
      <c r="P44" s="81"/>
    </row>
    <row r="45" spans="1:16" ht="12" customHeight="1" x14ac:dyDescent="0.2">
      <c r="A45" s="94"/>
      <c r="B45" s="175" t="s">
        <v>1765</v>
      </c>
      <c r="C45" s="178">
        <f>F336</f>
        <v>420000</v>
      </c>
      <c r="D45" s="178">
        <f>G336</f>
        <v>327000</v>
      </c>
      <c r="E45" s="207">
        <f t="shared" si="2"/>
        <v>0.28440366972477071</v>
      </c>
      <c r="F45" s="67"/>
      <c r="G45" s="96"/>
      <c r="O45" s="84"/>
      <c r="P45" s="81"/>
    </row>
    <row r="46" spans="1:16" ht="12" customHeight="1" x14ac:dyDescent="0.2">
      <c r="A46" s="94"/>
      <c r="B46" s="175" t="s">
        <v>1769</v>
      </c>
      <c r="C46" s="178">
        <f>F343</f>
        <v>119000</v>
      </c>
      <c r="D46" s="178">
        <f>G343</f>
        <v>74000</v>
      </c>
      <c r="E46" s="207">
        <f t="shared" si="2"/>
        <v>0.60810810810810811</v>
      </c>
      <c r="F46" s="67"/>
      <c r="G46" s="96"/>
      <c r="O46" s="84"/>
      <c r="P46" s="81"/>
    </row>
    <row r="47" spans="1:16" ht="12" customHeight="1" x14ac:dyDescent="0.2">
      <c r="A47" s="94"/>
      <c r="B47" s="200" t="s">
        <v>1774</v>
      </c>
      <c r="C47" s="201">
        <f>F345</f>
        <v>301000</v>
      </c>
      <c r="D47" s="201">
        <f>G345</f>
        <v>253000</v>
      </c>
      <c r="E47" s="207">
        <f t="shared" si="2"/>
        <v>0.18972332015810278</v>
      </c>
      <c r="F47" s="67"/>
      <c r="G47" s="96"/>
      <c r="O47" s="84"/>
      <c r="P47" s="81"/>
    </row>
    <row r="48" spans="1:16" ht="12" customHeight="1" thickBot="1" x14ac:dyDescent="0.25">
      <c r="A48" s="94"/>
      <c r="B48" s="175"/>
      <c r="C48" s="202">
        <f>C44+C47</f>
        <v>-291000</v>
      </c>
      <c r="D48" s="178"/>
      <c r="E48" s="207" t="str">
        <f t="shared" si="2"/>
        <v/>
      </c>
      <c r="F48" s="67"/>
      <c r="G48" s="96"/>
      <c r="O48" s="84"/>
      <c r="P48" s="81"/>
    </row>
    <row r="49" spans="1:16" ht="12" customHeight="1" x14ac:dyDescent="0.2">
      <c r="A49" s="94"/>
      <c r="B49" s="172" t="s">
        <v>3487</v>
      </c>
      <c r="C49" s="182">
        <f>C16</f>
        <v>42978</v>
      </c>
      <c r="D49" s="182">
        <f>D16</f>
        <v>42613</v>
      </c>
      <c r="E49" s="51"/>
      <c r="F49" s="67"/>
      <c r="G49" s="96"/>
      <c r="O49" s="84"/>
      <c r="P49" s="81"/>
    </row>
    <row r="50" spans="1:16" ht="12" customHeight="1" x14ac:dyDescent="0.2">
      <c r="A50" s="94"/>
      <c r="B50" s="1" t="str">
        <f>B353</f>
        <v>Impots différés</v>
      </c>
      <c r="C50" s="178">
        <f>F353</f>
        <v>0</v>
      </c>
      <c r="D50" s="178">
        <f>G353</f>
        <v>0</v>
      </c>
      <c r="E50" s="207" t="str">
        <f t="shared" ref="E50:E58" si="3">IFERROR((C50/D50)-1,"")</f>
        <v/>
      </c>
      <c r="F50" s="67"/>
      <c r="G50" s="96"/>
      <c r="O50" s="84"/>
      <c r="P50" s="81"/>
    </row>
    <row r="51" spans="1:16" ht="12" customHeight="1" x14ac:dyDescent="0.2">
      <c r="A51" s="94"/>
      <c r="B51" s="1" t="str">
        <f t="shared" ref="B51:B57" si="4">B354</f>
        <v xml:space="preserve">Résultat net avant amortissement des écarts d'acquisition </v>
      </c>
      <c r="C51" s="178">
        <f t="shared" ref="C51:D57" si="5">F354</f>
        <v>0</v>
      </c>
      <c r="D51" s="178">
        <f t="shared" si="5"/>
        <v>0</v>
      </c>
      <c r="E51" s="207" t="str">
        <f t="shared" si="3"/>
        <v/>
      </c>
      <c r="F51" s="67"/>
      <c r="G51" s="96"/>
      <c r="O51" s="84"/>
      <c r="P51" s="81"/>
    </row>
    <row r="52" spans="1:16" ht="12" customHeight="1" x14ac:dyDescent="0.2">
      <c r="A52" s="94"/>
      <c r="B52" s="1" t="str">
        <f t="shared" si="4"/>
        <v>Dotation aux amortisssements des écarts d'acquisition</v>
      </c>
      <c r="C52" s="178">
        <f t="shared" si="5"/>
        <v>-1155000</v>
      </c>
      <c r="D52" s="178">
        <f t="shared" si="5"/>
        <v>-1140000</v>
      </c>
      <c r="E52" s="207">
        <f t="shared" si="3"/>
        <v>1.3157894736842035E-2</v>
      </c>
      <c r="F52" s="67"/>
      <c r="G52" s="96"/>
      <c r="O52" s="84"/>
      <c r="P52" s="81"/>
    </row>
    <row r="53" spans="1:16" ht="12" customHeight="1" x14ac:dyDescent="0.2">
      <c r="A53" s="94"/>
      <c r="B53" s="1" t="str">
        <f t="shared" si="4"/>
        <v>Résultat net des sociétés mises en équivalence</v>
      </c>
      <c r="C53" s="178">
        <f t="shared" si="5"/>
        <v>0</v>
      </c>
      <c r="D53" s="178">
        <f t="shared" si="5"/>
        <v>0</v>
      </c>
      <c r="E53" s="207" t="str">
        <f t="shared" si="3"/>
        <v/>
      </c>
      <c r="F53" s="67"/>
      <c r="G53" s="96"/>
      <c r="O53" s="84"/>
      <c r="P53" s="81"/>
    </row>
    <row r="54" spans="1:16" ht="12" customHeight="1" x14ac:dyDescent="0.2">
      <c r="A54" s="94"/>
      <c r="B54" s="1" t="str">
        <f t="shared" si="4"/>
        <v>Résultats net des sociétés intégrées</v>
      </c>
      <c r="C54" s="178">
        <f t="shared" si="5"/>
        <v>5933000</v>
      </c>
      <c r="D54" s="178">
        <f t="shared" si="5"/>
        <v>4810000</v>
      </c>
      <c r="E54" s="207">
        <f t="shared" si="3"/>
        <v>0.23347193347193351</v>
      </c>
      <c r="F54" s="67"/>
      <c r="G54" s="96"/>
      <c r="O54" s="84"/>
      <c r="P54" s="81"/>
    </row>
    <row r="55" spans="1:16" ht="12" customHeight="1" x14ac:dyDescent="0.2">
      <c r="A55" s="94"/>
      <c r="B55" s="200" t="str">
        <f t="shared" si="4"/>
        <v>Résultats consolidés</v>
      </c>
      <c r="C55" s="201">
        <f t="shared" si="5"/>
        <v>4778000</v>
      </c>
      <c r="D55" s="201">
        <f t="shared" si="5"/>
        <v>3671000</v>
      </c>
      <c r="E55" s="207">
        <f t="shared" si="3"/>
        <v>0.30155271043312459</v>
      </c>
      <c r="F55" s="67"/>
      <c r="G55" s="96"/>
      <c r="O55" s="84"/>
      <c r="P55" s="81"/>
    </row>
    <row r="56" spans="1:16" ht="12" customHeight="1" x14ac:dyDescent="0.2">
      <c r="A56" s="94"/>
      <c r="B56" s="1" t="str">
        <f t="shared" si="4"/>
        <v>Part revenant aux intérêts minoritaires</v>
      </c>
      <c r="C56" s="178">
        <f t="shared" si="5"/>
        <v>0</v>
      </c>
      <c r="D56" s="178">
        <f t="shared" si="5"/>
        <v>0</v>
      </c>
      <c r="E56" s="207" t="str">
        <f t="shared" si="3"/>
        <v/>
      </c>
      <c r="F56" s="67"/>
      <c r="G56" s="96"/>
      <c r="O56" s="84"/>
      <c r="P56" s="81"/>
    </row>
    <row r="57" spans="1:16" ht="12" customHeight="1" x14ac:dyDescent="0.2">
      <c r="A57" s="94"/>
      <c r="B57" s="1" t="str">
        <f t="shared" si="4"/>
        <v>Part revenant à l'entreprise consolidée</v>
      </c>
      <c r="C57" s="178">
        <f t="shared" si="5"/>
        <v>4778000</v>
      </c>
      <c r="D57" s="178">
        <f t="shared" si="5"/>
        <v>3671000</v>
      </c>
      <c r="E57" s="207">
        <f t="shared" si="3"/>
        <v>0.30155271043312459</v>
      </c>
      <c r="F57" s="67"/>
      <c r="G57" s="96"/>
      <c r="O57" s="84"/>
      <c r="P57" s="81"/>
    </row>
    <row r="58" spans="1:16" ht="12" customHeight="1" thickBot="1" x14ac:dyDescent="0.25">
      <c r="A58" s="94"/>
      <c r="E58" s="207" t="str">
        <f t="shared" si="3"/>
        <v/>
      </c>
      <c r="F58" s="67"/>
      <c r="G58" s="96"/>
      <c r="O58" s="84"/>
      <c r="P58" s="81"/>
    </row>
    <row r="59" spans="1:16" ht="12" customHeight="1" x14ac:dyDescent="0.2">
      <c r="A59" s="94"/>
      <c r="B59" s="172" t="s">
        <v>3479</v>
      </c>
      <c r="C59" s="182">
        <f>C16</f>
        <v>42978</v>
      </c>
      <c r="D59" s="182">
        <f>D16</f>
        <v>42613</v>
      </c>
      <c r="E59" s="51"/>
      <c r="F59" s="67"/>
      <c r="G59" s="96"/>
      <c r="O59" s="84"/>
      <c r="P59" s="81"/>
    </row>
    <row r="60" spans="1:16" ht="12" customHeight="1" x14ac:dyDescent="0.2">
      <c r="A60" s="94"/>
      <c r="B60" s="200" t="s">
        <v>3480</v>
      </c>
      <c r="C60" s="179">
        <f>C38</f>
        <v>44307000</v>
      </c>
      <c r="D60" s="179">
        <f>D38</f>
        <v>38189000</v>
      </c>
      <c r="E60" s="207">
        <f t="shared" ref="E60:E65" si="6">IFERROR((C60/D60)-1,"")</f>
        <v>0.16020319987430942</v>
      </c>
      <c r="F60" s="67"/>
      <c r="G60" s="96"/>
      <c r="O60" s="84"/>
      <c r="P60" s="81"/>
    </row>
    <row r="61" spans="1:16" ht="12" customHeight="1" x14ac:dyDescent="0.2">
      <c r="A61" s="94"/>
      <c r="B61" s="1" t="s">
        <v>3481</v>
      </c>
      <c r="C61" s="178">
        <f>F270-F283-F284-F285-F286</f>
        <v>44307000</v>
      </c>
      <c r="D61" s="178">
        <f>G270-G283-G284-G285-G286</f>
        <v>38189000</v>
      </c>
      <c r="E61" s="207">
        <f t="shared" si="6"/>
        <v>0.16020319987430942</v>
      </c>
      <c r="F61" s="67"/>
      <c r="G61" s="96"/>
      <c r="O61" s="84"/>
      <c r="P61" s="81"/>
    </row>
    <row r="62" spans="1:16" ht="12" customHeight="1" x14ac:dyDescent="0.2">
      <c r="A62" s="94"/>
      <c r="B62" s="175" t="s">
        <v>3482</v>
      </c>
      <c r="C62" s="178">
        <f>F270-F283-F284-F285-F286-F287</f>
        <v>44307000</v>
      </c>
      <c r="D62" s="178">
        <f>G270-G283-G284-G285-G286-G287</f>
        <v>38189000</v>
      </c>
      <c r="E62" s="207">
        <f t="shared" si="6"/>
        <v>0.16020319987430942</v>
      </c>
      <c r="F62" s="67"/>
      <c r="G62" s="96"/>
      <c r="O62" s="84"/>
      <c r="P62" s="81"/>
    </row>
    <row r="63" spans="1:16" ht="12" customHeight="1" x14ac:dyDescent="0.2">
      <c r="A63" s="94"/>
      <c r="B63" s="200" t="s">
        <v>3483</v>
      </c>
      <c r="C63" s="179">
        <f>F270-F283-F284-F285-F286-F287+F276-F288-F291-F292-F348</f>
        <v>43628000</v>
      </c>
      <c r="D63" s="179">
        <f>G270-G283-G284-G285-G286-G287+G276-G288-G291-G292-G348</f>
        <v>37590000</v>
      </c>
      <c r="E63" s="207">
        <f t="shared" si="6"/>
        <v>0.16062782654961416</v>
      </c>
      <c r="F63" s="67"/>
      <c r="G63" s="96"/>
      <c r="O63" s="84"/>
      <c r="P63" s="81"/>
    </row>
    <row r="64" spans="1:16" ht="12" customHeight="1" x14ac:dyDescent="0.2">
      <c r="A64" s="94"/>
      <c r="B64" s="175" t="s">
        <v>1747</v>
      </c>
      <c r="C64" s="178">
        <f>C41</f>
        <v>8970000</v>
      </c>
      <c r="D64" s="178">
        <f>D41</f>
        <v>7119000</v>
      </c>
      <c r="E64" s="207">
        <f t="shared" si="6"/>
        <v>0.26000842815002101</v>
      </c>
      <c r="F64" s="67"/>
      <c r="G64" s="96"/>
      <c r="O64" s="84"/>
      <c r="P64" s="81"/>
    </row>
    <row r="65" spans="1:16" ht="12" customHeight="1" x14ac:dyDescent="0.2">
      <c r="A65" s="94"/>
      <c r="B65" s="200" t="s">
        <v>3484</v>
      </c>
      <c r="C65" s="179">
        <f>IF(C55=0,C54,C55)</f>
        <v>4778000</v>
      </c>
      <c r="D65" s="179">
        <f>IF(D55=0,D54,D55)</f>
        <v>3671000</v>
      </c>
      <c r="E65" s="207">
        <f t="shared" si="6"/>
        <v>0.30155271043312459</v>
      </c>
      <c r="F65" s="67"/>
      <c r="G65" s="96"/>
      <c r="O65" s="84"/>
      <c r="P65" s="81"/>
    </row>
    <row r="66" spans="1:16" ht="12" customHeight="1" x14ac:dyDescent="0.2">
      <c r="A66" s="94"/>
      <c r="B66" s="199"/>
      <c r="C66" s="87"/>
      <c r="D66" s="51"/>
      <c r="E66" s="51"/>
      <c r="F66" s="67"/>
      <c r="G66" s="96"/>
      <c r="O66" s="84"/>
      <c r="P66" s="81"/>
    </row>
    <row r="67" spans="1:16" ht="12" customHeight="1" thickBot="1" x14ac:dyDescent="0.25">
      <c r="A67" s="94"/>
      <c r="B67" s="51"/>
      <c r="C67" s="87"/>
      <c r="D67" s="51"/>
      <c r="E67" s="51"/>
      <c r="F67" s="67"/>
      <c r="G67" s="96"/>
      <c r="O67" s="84"/>
      <c r="P67" s="81"/>
    </row>
    <row r="68" spans="1:16" ht="12" customHeight="1" thickBot="1" x14ac:dyDescent="0.25">
      <c r="A68" s="94"/>
      <c r="B68" s="195" t="s">
        <v>3478</v>
      </c>
      <c r="C68" s="196"/>
      <c r="D68" s="196"/>
      <c r="E68" s="196"/>
      <c r="F68" s="196"/>
      <c r="G68" s="196"/>
      <c r="O68" s="84"/>
      <c r="P68" s="81"/>
    </row>
    <row r="69" spans="1:16" ht="12" customHeight="1" x14ac:dyDescent="0.2">
      <c r="A69" s="94"/>
      <c r="B69" s="51"/>
      <c r="C69" s="87"/>
      <c r="D69" s="51"/>
      <c r="E69" s="23"/>
      <c r="F69" s="67"/>
      <c r="G69" s="96"/>
      <c r="O69" s="84"/>
      <c r="P69" s="81"/>
    </row>
    <row r="70" spans="1:16" ht="12" customHeight="1" x14ac:dyDescent="0.2">
      <c r="B70" s="61"/>
      <c r="C70" s="61"/>
      <c r="D70" s="97"/>
      <c r="E70" s="62" t="s">
        <v>1809</v>
      </c>
      <c r="F70" s="68" t="s">
        <v>1791</v>
      </c>
      <c r="G70" s="68" t="s">
        <v>1792</v>
      </c>
      <c r="O70" s="84" t="s">
        <v>2901</v>
      </c>
      <c r="P70" s="81">
        <f>INDEX(Liste[],$E$2,5)</f>
        <v>0</v>
      </c>
    </row>
    <row r="71" spans="1:16" ht="12" customHeight="1" x14ac:dyDescent="0.2">
      <c r="B71" s="98"/>
      <c r="C71" s="98"/>
      <c r="D71" s="99" t="s">
        <v>1594</v>
      </c>
      <c r="E71" s="208">
        <f>INDEX(Liste[],$E$2,389)</f>
        <v>42978</v>
      </c>
      <c r="F71" s="209"/>
      <c r="G71" s="56">
        <f>INDEX(Liste[],$E$2,390)</f>
        <v>42613</v>
      </c>
      <c r="O71" s="84" t="s">
        <v>2902</v>
      </c>
      <c r="P71" s="81">
        <f>INDEX(Liste[],$E$2,6)</f>
        <v>0</v>
      </c>
    </row>
    <row r="72" spans="1:16" ht="12" customHeight="1" thickBot="1" x14ac:dyDescent="0.25">
      <c r="B72" s="100"/>
      <c r="C72" s="100"/>
      <c r="D72" s="99" t="s">
        <v>1595</v>
      </c>
      <c r="E72" s="210">
        <f>INDEX(Liste[],$E$2,393)</f>
        <v>12</v>
      </c>
      <c r="F72" s="211"/>
      <c r="G72" s="69" t="str">
        <f>INDEX(Liste[],$E$2,394)</f>
        <v>00</v>
      </c>
      <c r="O72" s="84" t="s">
        <v>2903</v>
      </c>
      <c r="P72" s="7">
        <f>INDEX(Liste[],$E$2,7)</f>
        <v>0</v>
      </c>
    </row>
    <row r="73" spans="1:16" ht="12" customHeight="1" x14ac:dyDescent="0.2">
      <c r="B73" s="63"/>
      <c r="C73" s="63"/>
      <c r="D73" s="101" t="s">
        <v>1810</v>
      </c>
      <c r="E73" s="101">
        <f>INDEX(Liste[],$E$2,10)</f>
        <v>0</v>
      </c>
      <c r="F73" s="102">
        <f>INDEX(Liste[],$E$2,10)</f>
        <v>0</v>
      </c>
      <c r="G73" s="102">
        <f>INDEX(Liste[],$E$2,10)</f>
        <v>0</v>
      </c>
      <c r="O73" s="84" t="s">
        <v>2904</v>
      </c>
      <c r="P73" s="7">
        <f>INDEX(Liste[],$E$2,8)</f>
        <v>0</v>
      </c>
    </row>
    <row r="74" spans="1:16" ht="12" customHeight="1" x14ac:dyDescent="0.2">
      <c r="B74" s="38"/>
      <c r="C74" s="38"/>
      <c r="D74" s="103"/>
      <c r="E74" s="103"/>
      <c r="O74" s="84" t="s">
        <v>2905</v>
      </c>
      <c r="P74" s="81">
        <f>INDEX(Liste[],$E$2,9)</f>
        <v>0</v>
      </c>
    </row>
    <row r="75" spans="1:16" ht="12" customHeight="1" x14ac:dyDescent="0.2">
      <c r="B75" s="104" t="s">
        <v>1812</v>
      </c>
      <c r="C75" s="105"/>
      <c r="D75" s="106"/>
      <c r="E75" s="106" t="s">
        <v>1801</v>
      </c>
      <c r="F75" s="86" t="s">
        <v>1802</v>
      </c>
      <c r="G75" s="86" t="s">
        <v>1803</v>
      </c>
      <c r="I75" s="7" t="s">
        <v>3234</v>
      </c>
      <c r="J75" s="7" t="s">
        <v>3235</v>
      </c>
      <c r="K75" s="7" t="s">
        <v>3236</v>
      </c>
      <c r="O75" s="84" t="s">
        <v>2906</v>
      </c>
      <c r="P75" s="81">
        <f>INDEX(Liste[],$E$2,10)</f>
        <v>0</v>
      </c>
    </row>
    <row r="76" spans="1:16" x14ac:dyDescent="0.2">
      <c r="B76" s="38"/>
      <c r="C76" s="38"/>
      <c r="D76" s="103"/>
      <c r="E76" s="103"/>
      <c r="O76" s="84" t="s">
        <v>2907</v>
      </c>
      <c r="P76" s="81">
        <f>INDEX(Liste[],$E$2,11)</f>
        <v>0</v>
      </c>
    </row>
    <row r="77" spans="1:16" x14ac:dyDescent="0.2">
      <c r="B77" s="39" t="s">
        <v>1596</v>
      </c>
      <c r="C77" s="40"/>
      <c r="D77" s="89" t="s">
        <v>449</v>
      </c>
      <c r="E77" s="57">
        <f>INDEX(Liste[],$E$2,45)</f>
        <v>0</v>
      </c>
      <c r="F77" s="71">
        <f>INDEX(Liste[],$E$2,45)</f>
        <v>0</v>
      </c>
      <c r="G77" s="71">
        <f>INDEX(Liste[],$E$2,46)</f>
        <v>0</v>
      </c>
      <c r="I77" s="7" t="str">
        <f>D77</f>
        <v>AA</v>
      </c>
      <c r="K77" s="7" t="str">
        <f>D77&amp;"(N1)"</f>
        <v>AA(N1)</v>
      </c>
      <c r="L77" s="163" t="str">
        <f>IFERROR(VLOOKUP(D77,Transco!B:E,4,FALSE),"")</f>
        <v>=INDEX(Liste;$E$2;45)</v>
      </c>
      <c r="M77" s="7" t="str">
        <f>IFERROR(VLOOKUP(D77,Transco!B:E,4,FALSE),"")</f>
        <v>=INDEX(Liste;$E$2;45)</v>
      </c>
      <c r="N77" s="7" t="str">
        <f>IFERROR(VLOOKUP(K77,Transco!B:E,4,FALSE),"")</f>
        <v>=INDEX(Liste;$E$2;46)</v>
      </c>
      <c r="O77" s="84" t="s">
        <v>85</v>
      </c>
      <c r="P77" s="81">
        <f>INDEX(Liste[],$E$2,12)</f>
        <v>0</v>
      </c>
    </row>
    <row r="78" spans="1:16" x14ac:dyDescent="0.2">
      <c r="B78" s="42"/>
      <c r="C78" s="43"/>
      <c r="D78" s="148"/>
      <c r="E78" s="149"/>
      <c r="F78" s="74"/>
      <c r="G78" s="74"/>
      <c r="I78" s="7">
        <f t="shared" ref="I78:I141" si="7">D78</f>
        <v>0</v>
      </c>
      <c r="L78" s="163" t="str">
        <f>IFERROR(VLOOKUP(D78,Transco!B:E,4,FALSE),"")</f>
        <v/>
      </c>
      <c r="M78" s="7" t="str">
        <f>IFERROR(VLOOKUP(F78,Transco!B:E,4,FALSE),"")</f>
        <v/>
      </c>
      <c r="N78" s="7" t="str">
        <f>IFERROR(VLOOKUP(K78,Transco!B:E,4,FALSE),"")</f>
        <v/>
      </c>
      <c r="O78" s="84" t="s">
        <v>2908</v>
      </c>
      <c r="P78" s="81">
        <f>INDEX(Liste[],$E$2,13)</f>
        <v>0</v>
      </c>
    </row>
    <row r="79" spans="1:16" x14ac:dyDescent="0.2">
      <c r="B79" s="105" t="s">
        <v>1598</v>
      </c>
      <c r="C79" s="105"/>
      <c r="D79" s="107"/>
      <c r="E79" s="106"/>
      <c r="I79" s="7">
        <f t="shared" si="7"/>
        <v>0</v>
      </c>
      <c r="L79" s="163" t="str">
        <f>IFERROR(VLOOKUP(D79,Transco!B:E,4,FALSE),"")</f>
        <v/>
      </c>
      <c r="M79" s="7" t="str">
        <f>IFERROR(VLOOKUP(F79,Transco!B:E,4,FALSE),"")</f>
        <v/>
      </c>
      <c r="N79" s="7" t="str">
        <f>IFERROR(VLOOKUP(K79,Transco!B:E,4,FALSE),"")</f>
        <v/>
      </c>
      <c r="O79" s="84" t="s">
        <v>2909</v>
      </c>
      <c r="P79" s="81">
        <f>INDEX(Liste[],$E$2,14)</f>
        <v>0</v>
      </c>
    </row>
    <row r="80" spans="1:16" x14ac:dyDescent="0.2">
      <c r="B80" s="39" t="s">
        <v>1599</v>
      </c>
      <c r="C80" s="40"/>
      <c r="D80" s="89" t="s">
        <v>504</v>
      </c>
      <c r="E80" s="57">
        <f>INDEX(Liste[],$E$2,105)</f>
        <v>0</v>
      </c>
      <c r="F80" s="71">
        <f>INDEX(Liste[],$E$2,103)</f>
        <v>0</v>
      </c>
      <c r="G80" s="71">
        <f>INDEX(Liste[],$E$2,104)</f>
        <v>0</v>
      </c>
      <c r="I80" s="7" t="str">
        <f t="shared" si="7"/>
        <v>AB</v>
      </c>
      <c r="J80" s="7" t="str">
        <f>D80&amp;"-"&amp;D81</f>
        <v>AB-AC</v>
      </c>
      <c r="K80" s="7" t="str">
        <f t="shared" ref="K80:K91" si="8">D80&amp;"(N1)"</f>
        <v>AB(N1)</v>
      </c>
      <c r="L80" s="163" t="str">
        <f>IFERROR(VLOOKUP(D80,Transco!B:E,4,FALSE),"")</f>
        <v>=INDEX(Liste;$E$2;105)</v>
      </c>
      <c r="M80" s="7" t="str">
        <f>IFERROR(VLOOKUP(J80,Transco!B:E,4,FALSE),"")</f>
        <v>=INDEX(Liste;$E$2;103)</v>
      </c>
      <c r="N80" s="7" t="str">
        <f>IFERROR(VLOOKUP(K80,Transco!B:E,4,FALSE),"")</f>
        <v>=INDEX(Liste;$E$2;104)</v>
      </c>
      <c r="O80" s="84" t="s">
        <v>2910</v>
      </c>
      <c r="P80" s="81">
        <f>INDEX(Liste[],$E$2,15)</f>
        <v>0</v>
      </c>
    </row>
    <row r="81" spans="2:16" x14ac:dyDescent="0.2">
      <c r="B81" s="75" t="s">
        <v>1600</v>
      </c>
      <c r="C81" s="40"/>
      <c r="D81" s="89" t="s">
        <v>1601</v>
      </c>
      <c r="E81" s="57">
        <f>INDEX(Liste[],$E$2,102)</f>
        <v>0</v>
      </c>
      <c r="I81" s="7" t="str">
        <f t="shared" si="7"/>
        <v>AC</v>
      </c>
      <c r="K81" s="7" t="str">
        <f t="shared" si="8"/>
        <v>AC(N1)</v>
      </c>
      <c r="L81" s="163" t="str">
        <f>IFERROR(VLOOKUP(D81,Transco!B:E,4,FALSE),"")</f>
        <v>=INDEX(Liste;$E$2;102)</v>
      </c>
      <c r="M81" s="7" t="str">
        <f>IFERROR(VLOOKUP(J81,Transco!B:E,4,FALSE),"")</f>
        <v/>
      </c>
      <c r="N81" s="7" t="str">
        <f>IFERROR(VLOOKUP(K81,Transco!B:E,4,FALSE),"")</f>
        <v/>
      </c>
      <c r="O81" s="84" t="s">
        <v>2911</v>
      </c>
      <c r="P81" s="81">
        <f>INDEX(Liste[],$E$2,16)</f>
        <v>0</v>
      </c>
    </row>
    <row r="82" spans="2:16" x14ac:dyDescent="0.2">
      <c r="B82" s="39" t="s">
        <v>1602</v>
      </c>
      <c r="C82" s="40"/>
      <c r="D82" s="89" t="s">
        <v>502</v>
      </c>
      <c r="E82" s="57">
        <f>INDEX(Liste[],$E$2,101)</f>
        <v>0</v>
      </c>
      <c r="F82" s="71">
        <f>INDEX(Liste[],$E$2,99)</f>
        <v>0</v>
      </c>
      <c r="G82" s="71">
        <f>INDEX(Liste[],$E$2,100)</f>
        <v>0</v>
      </c>
      <c r="I82" s="7" t="str">
        <f t="shared" si="7"/>
        <v>AD</v>
      </c>
      <c r="J82" s="7" t="str">
        <f>D82&amp;"-"&amp;D83</f>
        <v>AD-AE</v>
      </c>
      <c r="K82" s="7" t="str">
        <f t="shared" si="8"/>
        <v>AD(N1)</v>
      </c>
      <c r="L82" s="163" t="str">
        <f>IFERROR(VLOOKUP(D82,Transco!B:E,4,FALSE),"")</f>
        <v>=INDEX(Liste;$E$2;101)</v>
      </c>
      <c r="M82" s="7" t="str">
        <f>IFERROR(VLOOKUP(J82,Transco!B:E,4,FALSE),"")</f>
        <v>=INDEX(Liste;$E$2;99)</v>
      </c>
      <c r="N82" s="7" t="str">
        <f>IFERROR(VLOOKUP(K82,Transco!B:E,4,FALSE),"")</f>
        <v>=INDEX(Liste;$E$2;100)</v>
      </c>
      <c r="O82" s="84" t="s">
        <v>2912</v>
      </c>
      <c r="P82" s="81">
        <f>INDEX(Liste[],$E$2,17)</f>
        <v>0</v>
      </c>
    </row>
    <row r="83" spans="2:16" x14ac:dyDescent="0.2">
      <c r="B83" s="75" t="s">
        <v>1600</v>
      </c>
      <c r="C83" s="40"/>
      <c r="D83" s="89" t="s">
        <v>499</v>
      </c>
      <c r="E83" s="57">
        <f>INDEX(Liste[],$E$2,98)</f>
        <v>0</v>
      </c>
      <c r="I83" s="7" t="str">
        <f t="shared" si="7"/>
        <v>AE</v>
      </c>
      <c r="K83" s="7" t="str">
        <f t="shared" si="8"/>
        <v>AE(N1)</v>
      </c>
      <c r="L83" s="163" t="str">
        <f>IFERROR(VLOOKUP(D83,Transco!B:E,4,FALSE),"")</f>
        <v>=INDEX(Liste;$E$2;98)</v>
      </c>
      <c r="M83" s="7" t="str">
        <f>IFERROR(VLOOKUP(J83,Transco!B:E,4,FALSE),"")</f>
        <v/>
      </c>
      <c r="N83" s="7" t="str">
        <f>IFERROR(VLOOKUP(K83,Transco!B:E,4,FALSE),"")</f>
        <v/>
      </c>
      <c r="O83" s="84" t="s">
        <v>2913</v>
      </c>
      <c r="P83" s="81">
        <f>INDEX(Liste[],$E$2,18)</f>
        <v>0</v>
      </c>
    </row>
    <row r="84" spans="2:16" x14ac:dyDescent="0.2">
      <c r="B84" s="39" t="s">
        <v>1603</v>
      </c>
      <c r="C84" s="40"/>
      <c r="D84" s="89" t="s">
        <v>464</v>
      </c>
      <c r="E84" s="57">
        <f>INDEX(Liste[],$E$2,62)</f>
        <v>0</v>
      </c>
      <c r="F84" s="71">
        <f>INDEX(Liste[],$E$2,60)</f>
        <v>0</v>
      </c>
      <c r="G84" s="71">
        <f>INDEX(Liste[],$E$2,61)</f>
        <v>0</v>
      </c>
      <c r="I84" s="7" t="str">
        <f t="shared" si="7"/>
        <v>AF</v>
      </c>
      <c r="J84" s="7" t="str">
        <f>D84&amp;"-"&amp;D85</f>
        <v>AF-AG</v>
      </c>
      <c r="K84" s="7" t="str">
        <f t="shared" si="8"/>
        <v>AF(N1)</v>
      </c>
      <c r="L84" s="163" t="str">
        <f>IFERROR(VLOOKUP(D84,Transco!B:E,4,FALSE),"")</f>
        <v>=INDEX(Liste;$E$2;62)</v>
      </c>
      <c r="M84" s="7" t="str">
        <f>IFERROR(VLOOKUP(J84,Transco!B:E,4,FALSE),"")</f>
        <v>=INDEX(Liste;$E$2;60)</v>
      </c>
      <c r="N84" s="7" t="str">
        <f>IFERROR(VLOOKUP(K84,Transco!B:E,4,FALSE),"")</f>
        <v>=INDEX(Liste;$E$2;61)</v>
      </c>
      <c r="O84" s="84" t="s">
        <v>2914</v>
      </c>
      <c r="P84" s="81">
        <f>INDEX(Liste[],$E$2,19)</f>
        <v>0</v>
      </c>
    </row>
    <row r="85" spans="2:16" x14ac:dyDescent="0.2">
      <c r="B85" s="75" t="s">
        <v>1600</v>
      </c>
      <c r="C85" s="40"/>
      <c r="D85" s="89" t="s">
        <v>461</v>
      </c>
      <c r="E85" s="57">
        <f>INDEX(Liste[],$E$2,59)</f>
        <v>0</v>
      </c>
      <c r="I85" s="7" t="str">
        <f t="shared" si="7"/>
        <v>AG</v>
      </c>
      <c r="K85" s="7" t="str">
        <f t="shared" si="8"/>
        <v>AG(N1)</v>
      </c>
      <c r="L85" s="163" t="str">
        <f>IFERROR(VLOOKUP(D85,Transco!B:E,4,FALSE),"")</f>
        <v>=INDEX(Liste;$E$2;59)</v>
      </c>
      <c r="M85" s="7" t="str">
        <f>IFERROR(VLOOKUP(J85,Transco!B:E,4,FALSE),"")</f>
        <v/>
      </c>
      <c r="N85" s="7" t="str">
        <f>IFERROR(VLOOKUP(K85,Transco!B:E,4,FALSE),"")</f>
        <v/>
      </c>
      <c r="O85" s="84" t="s">
        <v>89</v>
      </c>
      <c r="P85" s="81">
        <f>INDEX(Liste[],$E$2,20)</f>
        <v>0</v>
      </c>
    </row>
    <row r="86" spans="2:16" x14ac:dyDescent="0.2">
      <c r="B86" s="39" t="s">
        <v>1604</v>
      </c>
      <c r="C86" s="40"/>
      <c r="D86" s="89" t="s">
        <v>498</v>
      </c>
      <c r="E86" s="57">
        <f>INDEX(Liste[],$E$2,97)</f>
        <v>0</v>
      </c>
      <c r="F86" s="71">
        <f>INDEX(Liste[],$E$2,95)</f>
        <v>0</v>
      </c>
      <c r="G86" s="71">
        <f>INDEX(Liste[],$E$2,96)</f>
        <v>0</v>
      </c>
      <c r="I86" s="7" t="str">
        <f t="shared" si="7"/>
        <v>AH</v>
      </c>
      <c r="J86" s="7" t="str">
        <f>D86&amp;"-"&amp;D87</f>
        <v>AH-AI</v>
      </c>
      <c r="K86" s="7" t="str">
        <f t="shared" si="8"/>
        <v>AH(N1)</v>
      </c>
      <c r="L86" s="163" t="str">
        <f>IFERROR(VLOOKUP(D86,Transco!B:E,4,FALSE),"")</f>
        <v>=INDEX(Liste;$E$2;97)</v>
      </c>
      <c r="M86" s="7" t="str">
        <f>IFERROR(VLOOKUP(J86,Transco!B:E,4,FALSE),"")</f>
        <v>=INDEX(Liste;$E$2;95)</v>
      </c>
      <c r="N86" s="7" t="str">
        <f>IFERROR(VLOOKUP(K86,Transco!B:E,4,FALSE),"")</f>
        <v>=INDEX(Liste;$E$2;96)</v>
      </c>
      <c r="O86" s="84" t="s">
        <v>2915</v>
      </c>
      <c r="P86" s="81">
        <f>INDEX(Liste[],$E$2,21)</f>
        <v>0</v>
      </c>
    </row>
    <row r="87" spans="2:16" x14ac:dyDescent="0.2">
      <c r="B87" s="75" t="s">
        <v>1600</v>
      </c>
      <c r="C87" s="40"/>
      <c r="D87" s="89" t="s">
        <v>495</v>
      </c>
      <c r="E87" s="57">
        <f>INDEX(Liste[],$E$2,94)</f>
        <v>0</v>
      </c>
      <c r="I87" s="7" t="str">
        <f t="shared" si="7"/>
        <v>AI</v>
      </c>
      <c r="K87" s="7" t="str">
        <f t="shared" si="8"/>
        <v>AI(N1)</v>
      </c>
      <c r="L87" s="163" t="str">
        <f>IFERROR(VLOOKUP(D87,Transco!B:E,4,FALSE),"")</f>
        <v>=INDEX(Liste;$E$2;94)</v>
      </c>
      <c r="M87" s="7" t="str">
        <f>IFERROR(VLOOKUP(J87,Transco!B:E,4,FALSE),"")</f>
        <v/>
      </c>
      <c r="N87" s="7" t="str">
        <f>IFERROR(VLOOKUP(K87,Transco!B:E,4,FALSE),"")</f>
        <v/>
      </c>
      <c r="O87" s="84" t="s">
        <v>2916</v>
      </c>
      <c r="P87" s="81">
        <f>INDEX(Liste[],$E$2,22)</f>
        <v>0</v>
      </c>
    </row>
    <row r="88" spans="2:16" x14ac:dyDescent="0.2">
      <c r="B88" s="39" t="s">
        <v>1605</v>
      </c>
      <c r="C88" s="40"/>
      <c r="D88" s="89" t="s">
        <v>424</v>
      </c>
      <c r="E88" s="57">
        <f>INDEX(Liste[],$E$2,20)</f>
        <v>0</v>
      </c>
      <c r="F88" s="71">
        <f>INDEX(Liste[],$E$2,18)</f>
        <v>0</v>
      </c>
      <c r="G88" s="71">
        <f>INDEX(Liste[],$E$2,19)</f>
        <v>0</v>
      </c>
      <c r="I88" s="7" t="str">
        <f t="shared" si="7"/>
        <v>AJ</v>
      </c>
      <c r="J88" s="7" t="str">
        <f>D88&amp;"-"&amp;D89</f>
        <v>AJ-AK</v>
      </c>
      <c r="K88" s="7" t="str">
        <f t="shared" si="8"/>
        <v>AJ(N1)</v>
      </c>
      <c r="L88" s="163" t="str">
        <f>IFERROR(VLOOKUP(D88,Transco!B:E,4,FALSE),"")</f>
        <v>=INDEX(Liste;$E$2;20)</v>
      </c>
      <c r="M88" s="7" t="str">
        <f>IFERROR(VLOOKUP(J88,Transco!B:E,4,FALSE),"")</f>
        <v>=INDEX(Liste;$E$2;18)</v>
      </c>
      <c r="N88" s="7" t="str">
        <f>IFERROR(VLOOKUP(K88,Transco!B:E,4,FALSE),"")</f>
        <v>=INDEX(Liste;$E$2;19)</v>
      </c>
      <c r="O88" s="84" t="s">
        <v>2917</v>
      </c>
      <c r="P88" s="81">
        <f>INDEX(Liste[],$E$2,23)</f>
        <v>0</v>
      </c>
    </row>
    <row r="89" spans="2:16" x14ac:dyDescent="0.2">
      <c r="B89" s="75" t="s">
        <v>1600</v>
      </c>
      <c r="C89" s="40"/>
      <c r="D89" s="89" t="s">
        <v>421</v>
      </c>
      <c r="E89" s="57">
        <f>INDEX(Liste[],$E$2,17)</f>
        <v>0</v>
      </c>
      <c r="I89" s="7" t="str">
        <f t="shared" si="7"/>
        <v>AK</v>
      </c>
      <c r="K89" s="7" t="str">
        <f t="shared" si="8"/>
        <v>AK(N1)</v>
      </c>
      <c r="L89" s="163" t="str">
        <f>IFERROR(VLOOKUP(D89,Transco!B:E,4,FALSE),"")</f>
        <v>=INDEX(Liste;$E$2;17)</v>
      </c>
      <c r="M89" s="7" t="str">
        <f>IFERROR(VLOOKUP(J89,Transco!B:E,4,FALSE),"")</f>
        <v/>
      </c>
      <c r="N89" s="7" t="str">
        <f>IFERROR(VLOOKUP(K89,Transco!B:E,4,FALSE),"")</f>
        <v/>
      </c>
      <c r="O89" s="84" t="s">
        <v>93</v>
      </c>
      <c r="P89" s="81">
        <f>INDEX(Liste[],$E$2,24)</f>
        <v>0</v>
      </c>
    </row>
    <row r="90" spans="2:16" x14ac:dyDescent="0.2">
      <c r="B90" s="39" t="s">
        <v>1606</v>
      </c>
      <c r="C90" s="40"/>
      <c r="D90" s="89" t="s">
        <v>440</v>
      </c>
      <c r="E90" s="57">
        <f>INDEX(Liste[],$E$2,36)</f>
        <v>0</v>
      </c>
      <c r="F90" s="71">
        <f>INDEX(Liste[],$E$2,34)</f>
        <v>0</v>
      </c>
      <c r="G90" s="71">
        <f>INDEX(Liste[],$E$2,35)</f>
        <v>0</v>
      </c>
      <c r="I90" s="7" t="str">
        <f t="shared" si="7"/>
        <v>AL</v>
      </c>
      <c r="J90" s="7" t="str">
        <f>D90&amp;"-"&amp;D91</f>
        <v>AL-AM</v>
      </c>
      <c r="K90" s="7" t="str">
        <f t="shared" si="8"/>
        <v>AL(N1)</v>
      </c>
      <c r="L90" s="163" t="str">
        <f>IFERROR(VLOOKUP(D90,Transco!B:E,4,FALSE),"")</f>
        <v>=INDEX(Liste;$E$2;36)</v>
      </c>
      <c r="M90" s="7" t="str">
        <f>IFERROR(VLOOKUP(J90,Transco!B:E,4,FALSE),"")</f>
        <v>=INDEX(Liste;$E$2;34)</v>
      </c>
      <c r="N90" s="7" t="str">
        <f>IFERROR(VLOOKUP(K90,Transco!B:E,4,FALSE),"")</f>
        <v>=INDEX(Liste;$E$2;35)</v>
      </c>
      <c r="O90" s="84" t="s">
        <v>2918</v>
      </c>
      <c r="P90" s="81">
        <f>INDEX(Liste[],$E$2,25)</f>
        <v>0</v>
      </c>
    </row>
    <row r="91" spans="2:16" x14ac:dyDescent="0.2">
      <c r="B91" s="75" t="s">
        <v>1600</v>
      </c>
      <c r="C91" s="40"/>
      <c r="D91" s="89" t="s">
        <v>437</v>
      </c>
      <c r="E91" s="57">
        <f>INDEX(Liste[],$E$2,33)</f>
        <v>0</v>
      </c>
      <c r="I91" s="7" t="str">
        <f t="shared" si="7"/>
        <v>AM</v>
      </c>
      <c r="K91" s="7" t="str">
        <f t="shared" si="8"/>
        <v>AM(N1)</v>
      </c>
      <c r="L91" s="163" t="str">
        <f>IFERROR(VLOOKUP(D91,Transco!B:E,4,FALSE),"")</f>
        <v>=INDEX(Liste;$E$2;33)</v>
      </c>
      <c r="M91" s="7" t="str">
        <f>IFERROR(VLOOKUP(J91,Transco!B:E,4,FALSE),"")</f>
        <v/>
      </c>
      <c r="N91" s="7" t="str">
        <f>IFERROR(VLOOKUP(K91,Transco!B:E,4,FALSE),"")</f>
        <v/>
      </c>
      <c r="O91" s="84" t="s">
        <v>2919</v>
      </c>
      <c r="P91" s="81">
        <f>INDEX(Liste[],$E$2,26)</f>
        <v>0</v>
      </c>
    </row>
    <row r="92" spans="2:16" x14ac:dyDescent="0.2">
      <c r="I92" s="7">
        <f t="shared" si="7"/>
        <v>0</v>
      </c>
      <c r="L92" s="163" t="str">
        <f>IFERROR(VLOOKUP(D92,Transco!B:E,4,FALSE),"")</f>
        <v/>
      </c>
      <c r="M92" s="7" t="str">
        <f>IFERROR(VLOOKUP(J92,Transco!B:E,4,FALSE),"")</f>
        <v/>
      </c>
      <c r="N92" s="7" t="str">
        <f>IFERROR(VLOOKUP(K92,Transco!B:E,4,FALSE),"")</f>
        <v/>
      </c>
      <c r="O92" s="84" t="s">
        <v>2920</v>
      </c>
      <c r="P92" s="81">
        <f>INDEX(Liste[],$E$2,27)</f>
        <v>0</v>
      </c>
    </row>
    <row r="93" spans="2:16" x14ac:dyDescent="0.2">
      <c r="B93" s="105" t="s">
        <v>1607</v>
      </c>
      <c r="C93" s="38"/>
      <c r="D93" s="103"/>
      <c r="E93" s="103"/>
      <c r="I93" s="7">
        <f t="shared" si="7"/>
        <v>0</v>
      </c>
      <c r="L93" s="163" t="str">
        <f>IFERROR(VLOOKUP(D93,Transco!B:E,4,FALSE),"")</f>
        <v/>
      </c>
      <c r="M93" s="7" t="str">
        <f>IFERROR(VLOOKUP(J93,Transco!B:E,4,FALSE),"")</f>
        <v/>
      </c>
      <c r="N93" s="7" t="str">
        <f>IFERROR(VLOOKUP(K93,Transco!B:E,4,FALSE),"")</f>
        <v/>
      </c>
      <c r="O93" s="84" t="s">
        <v>2921</v>
      </c>
      <c r="P93" s="81">
        <f>INDEX(Liste[],$E$2,28)</f>
        <v>0</v>
      </c>
    </row>
    <row r="94" spans="2:16" x14ac:dyDescent="0.2">
      <c r="B94" s="108" t="s">
        <v>1608</v>
      </c>
      <c r="C94" s="40"/>
      <c r="D94" s="109" t="s">
        <v>486</v>
      </c>
      <c r="E94" s="57">
        <f>INDEX(Liste[],$E$2,85)</f>
        <v>0</v>
      </c>
      <c r="F94" s="71">
        <f>INDEX(Liste[],$E$2,83)</f>
        <v>20647000</v>
      </c>
      <c r="G94" s="71">
        <f>INDEX(Liste[],$E$2,84)</f>
        <v>21652000</v>
      </c>
      <c r="I94" s="7" t="str">
        <f t="shared" si="7"/>
        <v>CO1AB</v>
      </c>
      <c r="J94" s="7" t="str">
        <f>D94&amp;"-"&amp;D95</f>
        <v>CO1AB-CO1AA</v>
      </c>
      <c r="K94" s="7" t="str">
        <f t="shared" ref="K94:K99" si="9">D94&amp;"(N1)"</f>
        <v>CO1AB(N1)</v>
      </c>
      <c r="L94" s="163" t="str">
        <f>IFERROR(VLOOKUP(D94,Transco!B:E,4,FALSE),"")</f>
        <v>=INDEX(Liste;$E$2;85)</v>
      </c>
      <c r="M94" s="7" t="str">
        <f>IFERROR(VLOOKUP(J94,Transco!B:E,4,FALSE),"")</f>
        <v>=INDEX(Liste;$E$2;83)</v>
      </c>
      <c r="N94" s="7" t="str">
        <f>IFERROR(VLOOKUP(K94,Transco!B:E,4,FALSE),"")</f>
        <v>=INDEX(Liste;$E$2;84)</v>
      </c>
      <c r="O94" s="84" t="s">
        <v>2922</v>
      </c>
      <c r="P94" s="81">
        <f>INDEX(Liste[],$E$2,29)</f>
        <v>0</v>
      </c>
    </row>
    <row r="95" spans="2:16" x14ac:dyDescent="0.2">
      <c r="B95" s="76" t="s">
        <v>1600</v>
      </c>
      <c r="C95" s="40"/>
      <c r="D95" s="109" t="s">
        <v>483</v>
      </c>
      <c r="E95" s="57">
        <f>INDEX(Liste[],$E$2,82)</f>
        <v>0</v>
      </c>
      <c r="I95" s="7" t="str">
        <f t="shared" si="7"/>
        <v>CO1AA</v>
      </c>
      <c r="K95" s="7" t="str">
        <f t="shared" si="9"/>
        <v>CO1AA(N1)</v>
      </c>
      <c r="L95" s="163" t="str">
        <f>IFERROR(VLOOKUP(D95,Transco!B:E,4,FALSE),"")</f>
        <v>=INDEX(Liste;$E$2;82)</v>
      </c>
      <c r="M95" s="7" t="str">
        <f>IFERROR(VLOOKUP(J95,Transco!B:E,4,FALSE),"")</f>
        <v/>
      </c>
      <c r="N95" s="7" t="str">
        <f>IFERROR(VLOOKUP(K95,Transco!B:E,4,FALSE),"")</f>
        <v/>
      </c>
      <c r="O95" s="84" t="s">
        <v>2923</v>
      </c>
      <c r="P95" s="81">
        <f>INDEX(Liste[],$E$2,30)</f>
        <v>0</v>
      </c>
    </row>
    <row r="96" spans="2:16" x14ac:dyDescent="0.2">
      <c r="B96" s="108" t="s">
        <v>1609</v>
      </c>
      <c r="C96" s="40"/>
      <c r="D96" s="109" t="s">
        <v>538</v>
      </c>
      <c r="E96" s="57">
        <f>INDEX(Liste[],$E$2,140)</f>
        <v>0</v>
      </c>
      <c r="F96" s="71">
        <f>INDEX(Liste[],$E$2,138)</f>
        <v>0</v>
      </c>
      <c r="G96" s="71">
        <f>INDEX(Liste[],$E$2,139)</f>
        <v>0</v>
      </c>
      <c r="I96" s="7" t="str">
        <f t="shared" si="7"/>
        <v>CO2AB</v>
      </c>
      <c r="J96" s="7" t="str">
        <f>D96&amp;"-"&amp;D97</f>
        <v>CO2AB-CO2AA</v>
      </c>
      <c r="K96" s="7" t="str">
        <f t="shared" si="9"/>
        <v>CO2AB(N1)</v>
      </c>
      <c r="L96" s="163" t="str">
        <f>IFERROR(VLOOKUP(D96,Transco!B:E,4,FALSE),"")</f>
        <v>=INDEX(Liste;$E$2;140)</v>
      </c>
      <c r="M96" s="7" t="str">
        <f>IFERROR(VLOOKUP(J96,Transco!B:E,4,FALSE),"")</f>
        <v>=INDEX(Liste;$E$2;138)</v>
      </c>
      <c r="N96" s="7" t="str">
        <f>IFERROR(VLOOKUP(K96,Transco!B:E,4,FALSE),"")</f>
        <v>=INDEX(Liste;$E$2;139)</v>
      </c>
      <c r="O96" s="84" t="s">
        <v>2924</v>
      </c>
      <c r="P96" s="81">
        <f>INDEX(Liste[],$E$2,31)</f>
        <v>0</v>
      </c>
    </row>
    <row r="97" spans="2:16" x14ac:dyDescent="0.2">
      <c r="B97" s="76" t="s">
        <v>1610</v>
      </c>
      <c r="C97" s="40"/>
      <c r="D97" s="109" t="s">
        <v>535</v>
      </c>
      <c r="E97" s="57">
        <f>INDEX(Liste[],$E$2,137)</f>
        <v>0</v>
      </c>
      <c r="I97" s="7" t="str">
        <f t="shared" si="7"/>
        <v>CO2AA</v>
      </c>
      <c r="K97" s="7" t="str">
        <f t="shared" si="9"/>
        <v>CO2AA(N1)</v>
      </c>
      <c r="L97" s="163" t="str">
        <f>IFERROR(VLOOKUP(D97,Transco!B:E,4,FALSE),"")</f>
        <v>=INDEX(Liste;$E$2;137)</v>
      </c>
      <c r="M97" s="7" t="str">
        <f>IFERROR(VLOOKUP(J97,Transco!B:E,4,FALSE),"")</f>
        <v/>
      </c>
      <c r="N97" s="7" t="str">
        <f>IFERROR(VLOOKUP(K97,Transco!B:E,4,FALSE),"")</f>
        <v/>
      </c>
      <c r="O97" s="84" t="s">
        <v>101</v>
      </c>
      <c r="P97" s="81">
        <f>INDEX(Liste[],$E$2,32)</f>
        <v>0</v>
      </c>
    </row>
    <row r="98" spans="2:16" x14ac:dyDescent="0.2">
      <c r="B98" s="108" t="s">
        <v>1611</v>
      </c>
      <c r="C98" s="40"/>
      <c r="D98" s="109" t="s">
        <v>476</v>
      </c>
      <c r="E98" s="57">
        <f>INDEX(Liste[],$E$2,74)</f>
        <v>0</v>
      </c>
      <c r="F98" s="71">
        <f>INDEX(Liste[],$E$2,72)</f>
        <v>0</v>
      </c>
      <c r="G98" s="71">
        <f>INDEX(Liste[],$E$2,73)</f>
        <v>0</v>
      </c>
      <c r="I98" s="7" t="str">
        <f t="shared" si="7"/>
        <v>CO3AB</v>
      </c>
      <c r="J98" s="7" t="str">
        <f>D98&amp;"-"&amp;D99</f>
        <v>CO3AB-CO3AA</v>
      </c>
      <c r="K98" s="7" t="str">
        <f t="shared" si="9"/>
        <v>CO3AB(N1)</v>
      </c>
      <c r="L98" s="163" t="str">
        <f>IFERROR(VLOOKUP(D98,Transco!B:E,4,FALSE),"")</f>
        <v>=INDEX(Liste;$E$2;74)</v>
      </c>
      <c r="M98" s="7" t="str">
        <f>IFERROR(VLOOKUP(J98,Transco!B:E,4,FALSE),"")</f>
        <v>=INDEX(Liste;$E$2;72)</v>
      </c>
      <c r="N98" s="7" t="str">
        <f>IFERROR(VLOOKUP(K98,Transco!B:E,4,FALSE),"")</f>
        <v>=INDEX(Liste;$E$2;73)</v>
      </c>
      <c r="O98" s="84" t="s">
        <v>2925</v>
      </c>
      <c r="P98" s="81">
        <f>INDEX(Liste[],$E$2,33)</f>
        <v>0</v>
      </c>
    </row>
    <row r="99" spans="2:16" x14ac:dyDescent="0.2">
      <c r="B99" s="76" t="s">
        <v>1610</v>
      </c>
      <c r="C99" s="40"/>
      <c r="D99" s="109" t="s">
        <v>473</v>
      </c>
      <c r="E99" s="57">
        <f>INDEX(Liste[],$E$2,71)</f>
        <v>0</v>
      </c>
      <c r="I99" s="7" t="str">
        <f t="shared" si="7"/>
        <v>CO3AA</v>
      </c>
      <c r="K99" s="7" t="str">
        <f t="shared" si="9"/>
        <v>CO3AA(N1)</v>
      </c>
      <c r="L99" s="163" t="str">
        <f>IFERROR(VLOOKUP(D99,Transco!B:E,4,FALSE),"")</f>
        <v>=INDEX(Liste;$E$2;71)</v>
      </c>
      <c r="M99" s="7" t="str">
        <f>IFERROR(VLOOKUP(J99,Transco!B:E,4,FALSE),"")</f>
        <v/>
      </c>
      <c r="N99" s="7" t="str">
        <f>IFERROR(VLOOKUP(K99,Transco!B:E,4,FALSE),"")</f>
        <v/>
      </c>
      <c r="O99" s="84" t="s">
        <v>2926</v>
      </c>
      <c r="P99" s="81">
        <f>INDEX(Liste[],$E$2,34)</f>
        <v>0</v>
      </c>
    </row>
    <row r="100" spans="2:16" x14ac:dyDescent="0.2">
      <c r="D100" s="1"/>
      <c r="I100" s="7">
        <f t="shared" si="7"/>
        <v>0</v>
      </c>
      <c r="L100" s="163" t="str">
        <f>IFERROR(VLOOKUP(D100,Transco!B:E,4,FALSE),"")</f>
        <v/>
      </c>
      <c r="M100" s="7" t="str">
        <f>IFERROR(VLOOKUP(J100,Transco!B:E,4,FALSE),"")</f>
        <v/>
      </c>
      <c r="N100" s="7" t="str">
        <f>IFERROR(VLOOKUP(K100,Transco!B:E,4,FALSE),"")</f>
        <v/>
      </c>
      <c r="O100" s="84" t="s">
        <v>2927</v>
      </c>
      <c r="P100" s="81">
        <f>INDEX(Liste[],$E$2,35)</f>
        <v>0</v>
      </c>
    </row>
    <row r="101" spans="2:16" x14ac:dyDescent="0.2">
      <c r="B101" s="105" t="s">
        <v>1612</v>
      </c>
      <c r="C101" s="38"/>
      <c r="D101" s="90"/>
      <c r="E101" s="103"/>
      <c r="I101" s="7">
        <f t="shared" si="7"/>
        <v>0</v>
      </c>
      <c r="L101" s="163" t="str">
        <f>IFERROR(VLOOKUP(D101,Transco!B:E,4,FALSE),"")</f>
        <v/>
      </c>
      <c r="M101" s="7" t="str">
        <f>IFERROR(VLOOKUP(J101,Transco!B:E,4,FALSE),"")</f>
        <v/>
      </c>
      <c r="N101" s="7" t="str">
        <f>IFERROR(VLOOKUP(K101,Transco!B:E,4,FALSE),"")</f>
        <v/>
      </c>
      <c r="O101" s="84" t="s">
        <v>105</v>
      </c>
      <c r="P101" s="81">
        <f>INDEX(Liste[],$E$2,36)</f>
        <v>0</v>
      </c>
    </row>
    <row r="102" spans="2:16" x14ac:dyDescent="0.2">
      <c r="B102" s="39" t="s">
        <v>1613</v>
      </c>
      <c r="C102" s="40"/>
      <c r="D102" s="89" t="s">
        <v>552</v>
      </c>
      <c r="E102" s="57">
        <f>INDEX(Liste[],$E$2,156)</f>
        <v>0</v>
      </c>
      <c r="F102" s="71">
        <f>INDEX(Liste[],$E$2,154)</f>
        <v>0</v>
      </c>
      <c r="G102" s="71">
        <f>INDEX(Liste[],$E$2,155)</f>
        <v>0</v>
      </c>
      <c r="I102" s="7" t="str">
        <f t="shared" si="7"/>
        <v>AN</v>
      </c>
      <c r="J102" s="7" t="str">
        <f>D102&amp;"-"&amp;D103</f>
        <v>AN-AO</v>
      </c>
      <c r="K102" s="7" t="str">
        <f t="shared" ref="K102:K113" si="10">D102&amp;"(N1)"</f>
        <v>AN(N1)</v>
      </c>
      <c r="L102" s="163" t="str">
        <f>IFERROR(VLOOKUP(D102,Transco!B:E,4,FALSE),"")</f>
        <v>=INDEX(Liste;$E$2;156)</v>
      </c>
      <c r="M102" s="7" t="str">
        <f>IFERROR(VLOOKUP(J102,Transco!B:E,4,FALSE),"")</f>
        <v>=INDEX(Liste;$E$2;154)</v>
      </c>
      <c r="N102" s="7" t="str">
        <f>IFERROR(VLOOKUP(K102,Transco!B:E,4,FALSE),"")</f>
        <v>=INDEX(Liste;$E$2;155)</v>
      </c>
      <c r="O102" s="84" t="s">
        <v>2928</v>
      </c>
      <c r="P102" s="81">
        <f>INDEX(Liste[],$E$2,37)</f>
        <v>0</v>
      </c>
    </row>
    <row r="103" spans="2:16" x14ac:dyDescent="0.2">
      <c r="B103" s="75" t="s">
        <v>1600</v>
      </c>
      <c r="C103" s="40"/>
      <c r="D103" s="89" t="s">
        <v>549</v>
      </c>
      <c r="E103" s="57">
        <f>INDEX(Liste[],$E$2,153)</f>
        <v>0</v>
      </c>
      <c r="I103" s="7" t="str">
        <f t="shared" si="7"/>
        <v>AO</v>
      </c>
      <c r="K103" s="7" t="str">
        <f t="shared" si="10"/>
        <v>AO(N1)</v>
      </c>
      <c r="L103" s="163" t="str">
        <f>IFERROR(VLOOKUP(D103,Transco!B:E,4,FALSE),"")</f>
        <v>=INDEX(Liste;$E$2;153)</v>
      </c>
      <c r="M103" s="7" t="str">
        <f>IFERROR(VLOOKUP(J103,Transco!B:E,4,FALSE),"")</f>
        <v/>
      </c>
      <c r="N103" s="7" t="str">
        <f>IFERROR(VLOOKUP(K103,Transco!B:E,4,FALSE),"")</f>
        <v/>
      </c>
      <c r="O103" s="84" t="s">
        <v>2929</v>
      </c>
      <c r="P103" s="81">
        <f>INDEX(Liste[],$E$2,38)</f>
        <v>0</v>
      </c>
    </row>
    <row r="104" spans="2:16" x14ac:dyDescent="0.2">
      <c r="B104" s="39" t="s">
        <v>1614</v>
      </c>
      <c r="C104" s="40"/>
      <c r="D104" s="89" t="s">
        <v>468</v>
      </c>
      <c r="E104" s="57">
        <f>INDEX(Liste[],$E$2,66)</f>
        <v>0</v>
      </c>
      <c r="F104" s="71">
        <f>INDEX(Liste[],$E$2,64)</f>
        <v>0</v>
      </c>
      <c r="G104" s="71">
        <f>INDEX(Liste[],$E$2,65)</f>
        <v>0</v>
      </c>
      <c r="I104" s="7" t="str">
        <f t="shared" si="7"/>
        <v>AP</v>
      </c>
      <c r="J104" s="7" t="str">
        <f>D104&amp;"-"&amp;D105</f>
        <v>AP-AQ</v>
      </c>
      <c r="K104" s="7" t="str">
        <f t="shared" si="10"/>
        <v>AP(N1)</v>
      </c>
      <c r="L104" s="163" t="str">
        <f>IFERROR(VLOOKUP(D104,Transco!B:E,4,FALSE),"")</f>
        <v>=INDEX(Liste;$E$2;66)</v>
      </c>
      <c r="M104" s="7" t="str">
        <f>IFERROR(VLOOKUP(J104,Transco!B:E,4,FALSE),"")</f>
        <v>=INDEX(Liste;$E$2;64)</v>
      </c>
      <c r="N104" s="7" t="str">
        <f>IFERROR(VLOOKUP(K104,Transco!B:E,4,FALSE),"")</f>
        <v>=INDEX(Liste;$E$2;65)</v>
      </c>
      <c r="O104" s="84" t="s">
        <v>2930</v>
      </c>
      <c r="P104" s="81">
        <f>INDEX(Liste[],$E$2,39)</f>
        <v>0</v>
      </c>
    </row>
    <row r="105" spans="2:16" x14ac:dyDescent="0.2">
      <c r="B105" s="75" t="s">
        <v>1600</v>
      </c>
      <c r="C105" s="40"/>
      <c r="D105" s="89" t="s">
        <v>465</v>
      </c>
      <c r="E105" s="57">
        <f>INDEX(Liste[],$E$2,63)</f>
        <v>0</v>
      </c>
      <c r="I105" s="7" t="str">
        <f t="shared" si="7"/>
        <v>AQ</v>
      </c>
      <c r="K105" s="7" t="str">
        <f t="shared" si="10"/>
        <v>AQ(N1)</v>
      </c>
      <c r="L105" s="163" t="str">
        <f>IFERROR(VLOOKUP(D105,Transco!B:E,4,FALSE),"")</f>
        <v>=INDEX(Liste;$E$2;63)</v>
      </c>
      <c r="M105" s="7" t="str">
        <f>IFERROR(VLOOKUP(J105,Transco!B:E,4,FALSE),"")</f>
        <v/>
      </c>
      <c r="N105" s="7" t="str">
        <f>IFERROR(VLOOKUP(K105,Transco!B:E,4,FALSE),"")</f>
        <v/>
      </c>
      <c r="O105" s="84" t="s">
        <v>2931</v>
      </c>
      <c r="P105" s="81">
        <f>INDEX(Liste[],$E$2,40)</f>
        <v>0</v>
      </c>
    </row>
    <row r="106" spans="2:16" x14ac:dyDescent="0.2">
      <c r="B106" s="39" t="s">
        <v>1615</v>
      </c>
      <c r="C106" s="40"/>
      <c r="D106" s="89" t="s">
        <v>512</v>
      </c>
      <c r="E106" s="57">
        <f>INDEX(Liste[],$E$2,113)</f>
        <v>0</v>
      </c>
      <c r="F106" s="71">
        <f>INDEX(Liste[],$E$2,111)</f>
        <v>0</v>
      </c>
      <c r="G106" s="71">
        <f>INDEX(Liste[],$E$2,112)</f>
        <v>0</v>
      </c>
      <c r="I106" s="7" t="str">
        <f t="shared" si="7"/>
        <v>AR</v>
      </c>
      <c r="J106" s="7" t="str">
        <f>D106&amp;"-"&amp;D107</f>
        <v>AR-AS</v>
      </c>
      <c r="K106" s="7" t="str">
        <f t="shared" si="10"/>
        <v>AR(N1)</v>
      </c>
      <c r="L106" s="163" t="str">
        <f>IFERROR(VLOOKUP(D106,Transco!B:E,4,FALSE),"")</f>
        <v>=INDEX(Liste;$E$2;113)</v>
      </c>
      <c r="M106" s="7" t="str">
        <f>IFERROR(VLOOKUP(J106,Transco!B:E,4,FALSE),"")</f>
        <v>=INDEX(Liste;$E$2;111)</v>
      </c>
      <c r="N106" s="7" t="str">
        <f>IFERROR(VLOOKUP(K106,Transco!B:E,4,FALSE),"")</f>
        <v>=INDEX(Liste;$E$2;112)</v>
      </c>
      <c r="O106" s="84" t="s">
        <v>2932</v>
      </c>
      <c r="P106" s="81">
        <f>INDEX(Liste[],$E$2,41)</f>
        <v>0</v>
      </c>
    </row>
    <row r="107" spans="2:16" x14ac:dyDescent="0.2">
      <c r="B107" s="75" t="s">
        <v>1600</v>
      </c>
      <c r="C107" s="40"/>
      <c r="D107" s="89" t="s">
        <v>509</v>
      </c>
      <c r="E107" s="57">
        <f>INDEX(Liste[],$E$2,110)</f>
        <v>0</v>
      </c>
      <c r="F107" s="71"/>
      <c r="G107" s="71"/>
      <c r="I107" s="7" t="str">
        <f t="shared" si="7"/>
        <v>AS</v>
      </c>
      <c r="K107" s="7" t="str">
        <f t="shared" si="10"/>
        <v>AS(N1)</v>
      </c>
      <c r="L107" s="163" t="str">
        <f>IFERROR(VLOOKUP(D107,Transco!B:E,4,FALSE),"")</f>
        <v>=INDEX(Liste;$E$2;110)</v>
      </c>
      <c r="M107" s="7" t="str">
        <f>IFERROR(VLOOKUP(J107,Transco!B:E,4,FALSE),"")</f>
        <v/>
      </c>
      <c r="N107" s="7" t="str">
        <f>IFERROR(VLOOKUP(K107,Transco!B:E,4,FALSE),"")</f>
        <v/>
      </c>
      <c r="O107" s="84" t="s">
        <v>2933</v>
      </c>
      <c r="P107" s="81">
        <f>INDEX(Liste[],$E$2,42)</f>
        <v>0</v>
      </c>
    </row>
    <row r="108" spans="2:16" x14ac:dyDescent="0.2">
      <c r="B108" s="39" t="s">
        <v>1616</v>
      </c>
      <c r="C108" s="40"/>
      <c r="D108" s="89" t="s">
        <v>416</v>
      </c>
      <c r="E108" s="57">
        <f>INDEX(Liste[],$E$2,12)</f>
        <v>0</v>
      </c>
      <c r="F108" s="70">
        <f>INDEX(Liste[],$E$2,10)</f>
        <v>0</v>
      </c>
      <c r="G108" s="70">
        <f>INDEX(Liste[],$E$2,11)</f>
        <v>0</v>
      </c>
      <c r="I108" s="7" t="str">
        <f t="shared" si="7"/>
        <v>AT</v>
      </c>
      <c r="J108" s="7" t="str">
        <f>D108&amp;"-"&amp;D109</f>
        <v>AT-AU</v>
      </c>
      <c r="K108" s="7" t="str">
        <f t="shared" si="10"/>
        <v>AT(N1)</v>
      </c>
      <c r="L108" s="163" t="str">
        <f>IFERROR(VLOOKUP(D108,Transco!B:E,4,FALSE),"")</f>
        <v>=INDEX(Liste;$E$2;12)</v>
      </c>
      <c r="M108" s="7" t="str">
        <f>IFERROR(VLOOKUP(J108,Transco!B:E,4,FALSE),"")</f>
        <v>=INDEX(Liste;$E$2;10)</v>
      </c>
      <c r="N108" s="7" t="str">
        <f>IFERROR(VLOOKUP(K108,Transco!B:E,4,FALSE),"")</f>
        <v>=INDEX(Liste;$E$2;11)</v>
      </c>
      <c r="O108" s="84" t="s">
        <v>2934</v>
      </c>
      <c r="P108" s="81">
        <f>INDEX(Liste[],$E$2,43)</f>
        <v>0</v>
      </c>
    </row>
    <row r="109" spans="2:16" x14ac:dyDescent="0.2">
      <c r="B109" s="75" t="s">
        <v>1600</v>
      </c>
      <c r="C109" s="40"/>
      <c r="D109" s="89" t="s">
        <v>413</v>
      </c>
      <c r="E109" s="57">
        <f>INDEX(Liste[],$E$2,9)</f>
        <v>0</v>
      </c>
      <c r="F109" s="71"/>
      <c r="G109" s="71"/>
      <c r="I109" s="7" t="str">
        <f t="shared" si="7"/>
        <v>AU</v>
      </c>
      <c r="K109" s="7" t="str">
        <f t="shared" si="10"/>
        <v>AU(N1)</v>
      </c>
      <c r="L109" s="163" t="str">
        <f>IFERROR(VLOOKUP(D109,Transco!B:E,4,FALSE),"")</f>
        <v>=INDEX(Liste;$E$2;9)</v>
      </c>
      <c r="M109" s="7" t="str">
        <f>IFERROR(VLOOKUP(J109,Transco!B:E,4,FALSE),"")</f>
        <v/>
      </c>
      <c r="N109" s="7" t="str">
        <f>IFERROR(VLOOKUP(K109,Transco!B:E,4,FALSE),"")</f>
        <v/>
      </c>
      <c r="O109" s="84" t="s">
        <v>2935</v>
      </c>
      <c r="P109" s="81">
        <f>INDEX(Liste[],$E$2,44)</f>
        <v>0</v>
      </c>
    </row>
    <row r="110" spans="2:16" x14ac:dyDescent="0.2">
      <c r="B110" s="39" t="s">
        <v>1617</v>
      </c>
      <c r="C110" s="40"/>
      <c r="D110" s="89" t="s">
        <v>508</v>
      </c>
      <c r="E110" s="57">
        <f>INDEX(Liste[],$E$2,109)</f>
        <v>0</v>
      </c>
      <c r="F110" s="70">
        <f>INDEX(Liste[],$E$2,107)</f>
        <v>0</v>
      </c>
      <c r="G110" s="70">
        <f>INDEX(Liste[],$E$2,108)</f>
        <v>0</v>
      </c>
      <c r="I110" s="7" t="str">
        <f t="shared" si="7"/>
        <v>AV</v>
      </c>
      <c r="J110" s="7" t="str">
        <f>D110&amp;"-"&amp;D111</f>
        <v>AV-AW</v>
      </c>
      <c r="K110" s="7" t="str">
        <f t="shared" si="10"/>
        <v>AV(N1)</v>
      </c>
      <c r="L110" s="163" t="str">
        <f>IFERROR(VLOOKUP(D110,Transco!B:E,4,FALSE),"")</f>
        <v>=INDEX(Liste;$E$2;109)</v>
      </c>
      <c r="M110" s="7" t="str">
        <f>IFERROR(VLOOKUP(J110,Transco!B:E,4,FALSE),"")</f>
        <v>=INDEX(Liste;$E$2;107)</v>
      </c>
      <c r="N110" s="7" t="str">
        <f>IFERROR(VLOOKUP(K110,Transco!B:E,4,FALSE),"")</f>
        <v>=INDEX(Liste;$E$2;108)</v>
      </c>
      <c r="O110" s="84" t="s">
        <v>2936</v>
      </c>
      <c r="P110" s="81">
        <f>INDEX(Liste[],$E$2,45)</f>
        <v>0</v>
      </c>
    </row>
    <row r="111" spans="2:16" x14ac:dyDescent="0.2">
      <c r="B111" s="75" t="s">
        <v>1600</v>
      </c>
      <c r="C111" s="40"/>
      <c r="D111" s="89" t="s">
        <v>505</v>
      </c>
      <c r="E111" s="57">
        <f>INDEX(Liste[],$E$2,106)</f>
        <v>0</v>
      </c>
      <c r="F111" s="71"/>
      <c r="G111" s="71"/>
      <c r="I111" s="7" t="str">
        <f t="shared" si="7"/>
        <v>AW</v>
      </c>
      <c r="K111" s="7" t="str">
        <f t="shared" si="10"/>
        <v>AW(N1)</v>
      </c>
      <c r="L111" s="163" t="str">
        <f>IFERROR(VLOOKUP(D111,Transco!B:E,4,FALSE),"")</f>
        <v>=INDEX(Liste;$E$2;106)</v>
      </c>
      <c r="M111" s="7" t="str">
        <f>IFERROR(VLOOKUP(J111,Transco!B:E,4,FALSE),"")</f>
        <v/>
      </c>
      <c r="N111" s="7" t="str">
        <f>IFERROR(VLOOKUP(K111,Transco!B:E,4,FALSE),"")</f>
        <v/>
      </c>
      <c r="O111" s="84" t="s">
        <v>2937</v>
      </c>
      <c r="P111" s="81">
        <f>INDEX(Liste[],$E$2,46)</f>
        <v>0</v>
      </c>
    </row>
    <row r="112" spans="2:16" x14ac:dyDescent="0.2">
      <c r="B112" s="39" t="s">
        <v>1618</v>
      </c>
      <c r="C112" s="40"/>
      <c r="D112" s="89" t="s">
        <v>436</v>
      </c>
      <c r="E112" s="57">
        <f>INDEX(Liste[],$E$2,32)</f>
        <v>0</v>
      </c>
      <c r="F112" s="71">
        <f>INDEX(Liste[],$E$2,30)</f>
        <v>0</v>
      </c>
      <c r="G112" s="71">
        <f>INDEX(Liste[],$E$2,31)</f>
        <v>0</v>
      </c>
      <c r="I112" s="7" t="str">
        <f t="shared" si="7"/>
        <v>AX</v>
      </c>
      <c r="J112" s="7" t="str">
        <f>D112&amp;"-"&amp;D113</f>
        <v>AX-AY</v>
      </c>
      <c r="K112" s="7" t="str">
        <f t="shared" si="10"/>
        <v>AX(N1)</v>
      </c>
      <c r="L112" s="163" t="str">
        <f>IFERROR(VLOOKUP(D112,Transco!B:E,4,FALSE),"")</f>
        <v>=INDEX(Liste;$E$2;32)</v>
      </c>
      <c r="M112" s="7" t="str">
        <f>IFERROR(VLOOKUP(J112,Transco!B:E,4,FALSE),"")</f>
        <v>=INDEX(Liste;$E$2;30)</v>
      </c>
      <c r="N112" s="7" t="str">
        <f>IFERROR(VLOOKUP(K112,Transco!B:E,4,FALSE),"")</f>
        <v>=INDEX(Liste;$E$2;31)</v>
      </c>
      <c r="O112" s="84" t="s">
        <v>2938</v>
      </c>
      <c r="P112" s="81">
        <f>INDEX(Liste[],$E$2,47)</f>
        <v>0</v>
      </c>
    </row>
    <row r="113" spans="2:16" x14ac:dyDescent="0.2">
      <c r="B113" s="75" t="s">
        <v>1600</v>
      </c>
      <c r="C113" s="40"/>
      <c r="D113" s="89" t="s">
        <v>433</v>
      </c>
      <c r="E113" s="57">
        <f>INDEX(Liste[],$E$2,29)</f>
        <v>0</v>
      </c>
      <c r="I113" s="7" t="str">
        <f t="shared" si="7"/>
        <v>AY</v>
      </c>
      <c r="K113" s="7" t="str">
        <f t="shared" si="10"/>
        <v>AY(N1)</v>
      </c>
      <c r="L113" s="163" t="str">
        <f>IFERROR(VLOOKUP(D113,Transco!B:E,4,FALSE),"")</f>
        <v>=INDEX(Liste;$E$2;29)</v>
      </c>
      <c r="M113" s="7" t="str">
        <f>IFERROR(VLOOKUP(J113,Transco!B:E,4,FALSE),"")</f>
        <v/>
      </c>
      <c r="N113" s="7" t="str">
        <f>IFERROR(VLOOKUP(K113,Transco!B:E,4,FALSE),"")</f>
        <v/>
      </c>
      <c r="O113" s="84" t="s">
        <v>2939</v>
      </c>
      <c r="P113" s="81">
        <f>INDEX(Liste[],$E$2,48)</f>
        <v>0</v>
      </c>
    </row>
    <row r="114" spans="2:16" x14ac:dyDescent="0.2">
      <c r="D114" s="1"/>
      <c r="I114" s="7">
        <f t="shared" si="7"/>
        <v>0</v>
      </c>
      <c r="L114" s="163" t="str">
        <f>IFERROR(VLOOKUP(D114,Transco!B:E,4,FALSE),"")</f>
        <v/>
      </c>
      <c r="M114" s="7" t="str">
        <f>IFERROR(VLOOKUP(J114,Transco!B:E,4,FALSE),"")</f>
        <v/>
      </c>
      <c r="N114" s="7" t="str">
        <f>IFERROR(VLOOKUP(K114,Transco!B:E,4,FALSE),"")</f>
        <v/>
      </c>
      <c r="O114" s="84" t="s">
        <v>2940</v>
      </c>
      <c r="P114" s="81">
        <f>INDEX(Liste[],$E$2,49)</f>
        <v>0</v>
      </c>
    </row>
    <row r="115" spans="2:16" x14ac:dyDescent="0.2">
      <c r="B115" s="105" t="s">
        <v>1619</v>
      </c>
      <c r="C115" s="38"/>
      <c r="D115" s="90"/>
      <c r="E115" s="103"/>
      <c r="I115" s="7">
        <f t="shared" si="7"/>
        <v>0</v>
      </c>
      <c r="L115" s="163" t="str">
        <f>IFERROR(VLOOKUP(D115,Transco!B:E,4,FALSE),"")</f>
        <v/>
      </c>
      <c r="M115" s="7" t="str">
        <f>IFERROR(VLOOKUP(J115,Transco!B:E,4,FALSE),"")</f>
        <v/>
      </c>
      <c r="N115" s="7" t="str">
        <f>IFERROR(VLOOKUP(K115,Transco!B:E,4,FALSE),"")</f>
        <v/>
      </c>
      <c r="O115" s="84" t="s">
        <v>2941</v>
      </c>
      <c r="P115" s="81">
        <f>INDEX(Liste[],$E$2,50)</f>
        <v>0</v>
      </c>
    </row>
    <row r="116" spans="2:16" x14ac:dyDescent="0.2">
      <c r="B116" s="39" t="s">
        <v>1620</v>
      </c>
      <c r="C116" s="40"/>
      <c r="D116" s="89" t="s">
        <v>1621</v>
      </c>
      <c r="E116" s="57">
        <f>INDEX(Liste[],$E$2,125)</f>
        <v>0</v>
      </c>
      <c r="F116" s="71">
        <f>INDEX(Liste[],$E$2,123)</f>
        <v>0</v>
      </c>
      <c r="G116" s="71">
        <f>INDEX(Liste[],$E$2,124)</f>
        <v>0</v>
      </c>
      <c r="I116" s="7" t="str">
        <f t="shared" si="7"/>
        <v>CS</v>
      </c>
      <c r="J116" s="7" t="str">
        <f>D116&amp;"-"&amp;D117</f>
        <v>CS-CT</v>
      </c>
      <c r="K116" s="7" t="str">
        <f t="shared" ref="K116:K127" si="11">D116&amp;"(N1)"</f>
        <v>CS(N1)</v>
      </c>
      <c r="L116" s="163" t="str">
        <f>IFERROR(VLOOKUP(D116,Transco!B:E,4,FALSE),"")</f>
        <v>=INDEX(Liste;$E$2;125)</v>
      </c>
      <c r="M116" s="7" t="str">
        <f>IFERROR(VLOOKUP(J116,Transco!B:E,4,FALSE),"")</f>
        <v>=INDEX(Liste;$E$2;123)</v>
      </c>
      <c r="N116" s="7" t="str">
        <f>IFERROR(VLOOKUP(K116,Transco!B:E,4,FALSE),"")</f>
        <v>=INDEX(Liste;$E$2;124)</v>
      </c>
      <c r="O116" s="84" t="s">
        <v>2942</v>
      </c>
      <c r="P116" s="81">
        <f>INDEX(Liste[],$E$2,51)</f>
        <v>0</v>
      </c>
    </row>
    <row r="117" spans="2:16" x14ac:dyDescent="0.2">
      <c r="B117" s="75" t="s">
        <v>1600</v>
      </c>
      <c r="C117" s="40"/>
      <c r="D117" s="89" t="s">
        <v>1622</v>
      </c>
      <c r="E117" s="57">
        <f>INDEX(Liste[],$E$2,122)</f>
        <v>0</v>
      </c>
      <c r="I117" s="7" t="str">
        <f t="shared" si="7"/>
        <v>CT</v>
      </c>
      <c r="K117" s="7" t="str">
        <f t="shared" si="11"/>
        <v>CT(N1)</v>
      </c>
      <c r="L117" s="163" t="str">
        <f>IFERROR(VLOOKUP(D117,Transco!B:E,4,FALSE),"")</f>
        <v>=INDEX(Liste;$E$2;122)</v>
      </c>
      <c r="M117" s="7" t="str">
        <f>IFERROR(VLOOKUP(J117,Transco!B:E,4,FALSE),"")</f>
        <v/>
      </c>
      <c r="N117" s="7" t="str">
        <f>IFERROR(VLOOKUP(K117,Transco!B:E,4,FALSE),"")</f>
        <v/>
      </c>
      <c r="O117" s="84" t="s">
        <v>2943</v>
      </c>
      <c r="P117" s="81">
        <f>INDEX(Liste[],$E$2,52)</f>
        <v>0</v>
      </c>
    </row>
    <row r="118" spans="2:16" x14ac:dyDescent="0.2">
      <c r="B118" s="39" t="s">
        <v>1623</v>
      </c>
      <c r="C118" s="40"/>
      <c r="D118" s="89" t="s">
        <v>428</v>
      </c>
      <c r="E118" s="57">
        <f>INDEX(Liste[],$E$2,24)</f>
        <v>0</v>
      </c>
      <c r="F118" s="71">
        <f>INDEX(Liste[],$E$2,22)</f>
        <v>0</v>
      </c>
      <c r="G118" s="71">
        <f>INDEX(Liste[],$E$2,23)</f>
        <v>0</v>
      </c>
      <c r="I118" s="7" t="str">
        <f t="shared" si="7"/>
        <v>CU</v>
      </c>
      <c r="J118" s="7" t="str">
        <f>D118&amp;"-"&amp;D119</f>
        <v>CU-CV</v>
      </c>
      <c r="K118" s="7" t="str">
        <f t="shared" si="11"/>
        <v>CU(N1)</v>
      </c>
      <c r="L118" s="163" t="str">
        <f>IFERROR(VLOOKUP(D118,Transco!B:E,4,FALSE),"")</f>
        <v>=INDEX(Liste;$E$2;24)</v>
      </c>
      <c r="M118" s="7" t="str">
        <f>IFERROR(VLOOKUP(J118,Transco!B:E,4,FALSE),"")</f>
        <v>=INDEX(Liste;$E$2;22)</v>
      </c>
      <c r="N118" s="7" t="str">
        <f>IFERROR(VLOOKUP(K118,Transco!B:E,4,FALSE),"")</f>
        <v>=INDEX(Liste;$E$2;23)</v>
      </c>
      <c r="O118" s="84" t="s">
        <v>2944</v>
      </c>
      <c r="P118" s="81">
        <f>INDEX(Liste[],$E$2,53)</f>
        <v>0</v>
      </c>
    </row>
    <row r="119" spans="2:16" x14ac:dyDescent="0.2">
      <c r="B119" s="75" t="s">
        <v>1600</v>
      </c>
      <c r="C119" s="40"/>
      <c r="D119" s="89" t="s">
        <v>425</v>
      </c>
      <c r="E119" s="57">
        <f>INDEX(Liste[],$E$2,21)</f>
        <v>0</v>
      </c>
      <c r="I119" s="7" t="str">
        <f t="shared" si="7"/>
        <v>CV</v>
      </c>
      <c r="K119" s="7" t="str">
        <f t="shared" si="11"/>
        <v>CV(N1)</v>
      </c>
      <c r="L119" s="163" t="str">
        <f>IFERROR(VLOOKUP(D119,Transco!B:E,4,FALSE),"")</f>
        <v>=INDEX(Liste;$E$2;21)</v>
      </c>
      <c r="M119" s="7" t="str">
        <f>IFERROR(VLOOKUP(J119,Transco!B:E,4,FALSE),"")</f>
        <v/>
      </c>
      <c r="N119" s="7" t="str">
        <f>IFERROR(VLOOKUP(K119,Transco!B:E,4,FALSE),"")</f>
        <v/>
      </c>
      <c r="O119" s="84" t="s">
        <v>2945</v>
      </c>
      <c r="P119" s="81">
        <f>INDEX(Liste[],$E$2,54)</f>
        <v>0</v>
      </c>
    </row>
    <row r="120" spans="2:16" x14ac:dyDescent="0.2">
      <c r="B120" s="39" t="s">
        <v>1624</v>
      </c>
      <c r="C120" s="40"/>
      <c r="D120" s="89" t="s">
        <v>472</v>
      </c>
      <c r="E120" s="57">
        <f>INDEX(Liste[],$E$2,70)</f>
        <v>0</v>
      </c>
      <c r="F120" s="71">
        <f>INDEX(Liste[],$E$2,68)</f>
        <v>0</v>
      </c>
      <c r="G120" s="71">
        <f>INDEX(Liste[],$E$2,69)</f>
        <v>0</v>
      </c>
      <c r="I120" s="7" t="str">
        <f t="shared" si="7"/>
        <v>BB</v>
      </c>
      <c r="J120" s="7" t="str">
        <f>D120&amp;"-"&amp;D121</f>
        <v>BB-BC</v>
      </c>
      <c r="K120" s="7" t="str">
        <f t="shared" si="11"/>
        <v>BB(N1)</v>
      </c>
      <c r="L120" s="163" t="str">
        <f>IFERROR(VLOOKUP(D120,Transco!B:E,4,FALSE),"")</f>
        <v>=INDEX(Liste;$E$2;70)</v>
      </c>
      <c r="M120" s="7" t="str">
        <f>IFERROR(VLOOKUP(J120,Transco!B:E,4,FALSE),"")</f>
        <v>=INDEX(Liste;$E$2;68)</v>
      </c>
      <c r="N120" s="7" t="str">
        <f>IFERROR(VLOOKUP(K120,Transco!B:E,4,FALSE),"")</f>
        <v>=INDEX(Liste;$E$2;69)</v>
      </c>
      <c r="O120" s="84" t="s">
        <v>2946</v>
      </c>
      <c r="P120" s="81">
        <f>INDEX(Liste[],$E$2,55)</f>
        <v>0</v>
      </c>
    </row>
    <row r="121" spans="2:16" x14ac:dyDescent="0.2">
      <c r="B121" s="75" t="s">
        <v>1600</v>
      </c>
      <c r="C121" s="40"/>
      <c r="D121" s="89" t="s">
        <v>469</v>
      </c>
      <c r="E121" s="57">
        <f>INDEX(Liste[],$E$2,67)</f>
        <v>0</v>
      </c>
      <c r="I121" s="7" t="str">
        <f t="shared" si="7"/>
        <v>BC</v>
      </c>
      <c r="K121" s="7" t="str">
        <f t="shared" si="11"/>
        <v>BC(N1)</v>
      </c>
      <c r="L121" s="163" t="str">
        <f>IFERROR(VLOOKUP(D121,Transco!B:E,4,FALSE),"")</f>
        <v>=INDEX(Liste;$E$2;67)</v>
      </c>
      <c r="M121" s="7" t="str">
        <f>IFERROR(VLOOKUP(J121,Transco!B:E,4,FALSE),"")</f>
        <v/>
      </c>
      <c r="N121" s="7" t="str">
        <f>IFERROR(VLOOKUP(K121,Transco!B:E,4,FALSE),"")</f>
        <v/>
      </c>
      <c r="O121" s="84" t="s">
        <v>2947</v>
      </c>
      <c r="P121" s="81">
        <f>INDEX(Liste[],$E$2,56)</f>
        <v>8228000</v>
      </c>
    </row>
    <row r="122" spans="2:16" x14ac:dyDescent="0.2">
      <c r="B122" s="39" t="s">
        <v>1625</v>
      </c>
      <c r="C122" s="40"/>
      <c r="D122" s="89" t="s">
        <v>432</v>
      </c>
      <c r="E122" s="57">
        <f>INDEX(Liste[],$E$2,28)</f>
        <v>0</v>
      </c>
      <c r="F122" s="71">
        <f>INDEX(Liste[],$E$2,26)</f>
        <v>0</v>
      </c>
      <c r="G122" s="71">
        <f>INDEX(Liste[],$E$2,27)</f>
        <v>0</v>
      </c>
      <c r="I122" s="7" t="str">
        <f t="shared" si="7"/>
        <v>BD</v>
      </c>
      <c r="J122" s="7" t="str">
        <f>D122&amp;"-"&amp;D123</f>
        <v>BD-BE</v>
      </c>
      <c r="K122" s="7" t="str">
        <f t="shared" si="11"/>
        <v>BD(N1)</v>
      </c>
      <c r="L122" s="163" t="str">
        <f>IFERROR(VLOOKUP(D122,Transco!B:E,4,FALSE),"")</f>
        <v>=INDEX(Liste;$E$2;28)</v>
      </c>
      <c r="M122" s="7" t="str">
        <f>IFERROR(VLOOKUP(J122,Transco!B:E,4,FALSE),"")</f>
        <v>=INDEX(Liste;$E$2;26)</v>
      </c>
      <c r="N122" s="7" t="str">
        <f>IFERROR(VLOOKUP(K122,Transco!B:E,4,FALSE),"")</f>
        <v>=INDEX(Liste;$E$2;27)</v>
      </c>
      <c r="O122" s="84" t="s">
        <v>2948</v>
      </c>
      <c r="P122" s="81">
        <f>INDEX(Liste[],$E$2,57)</f>
        <v>3827000</v>
      </c>
    </row>
    <row r="123" spans="2:16" x14ac:dyDescent="0.2">
      <c r="B123" s="75" t="s">
        <v>1600</v>
      </c>
      <c r="C123" s="40"/>
      <c r="D123" s="89" t="s">
        <v>429</v>
      </c>
      <c r="E123" s="57">
        <f>INDEX(Liste[],$E$2,25)</f>
        <v>0</v>
      </c>
      <c r="I123" s="7" t="str">
        <f t="shared" si="7"/>
        <v>BE</v>
      </c>
      <c r="K123" s="7" t="str">
        <f t="shared" si="11"/>
        <v>BE(N1)</v>
      </c>
      <c r="L123" s="163" t="str">
        <f>IFERROR(VLOOKUP(D123,Transco!B:E,4,FALSE),"")</f>
        <v>=INDEX(Liste;$E$2;25)</v>
      </c>
      <c r="M123" s="7" t="str">
        <f>IFERROR(VLOOKUP(J123,Transco!B:E,4,FALSE),"")</f>
        <v/>
      </c>
      <c r="N123" s="7" t="str">
        <f>IFERROR(VLOOKUP(K123,Transco!B:E,4,FALSE),"")</f>
        <v/>
      </c>
      <c r="O123" s="84" t="s">
        <v>2949</v>
      </c>
      <c r="P123" s="81">
        <f>INDEX(Liste[],$E$2,58)</f>
        <v>0</v>
      </c>
    </row>
    <row r="124" spans="2:16" x14ac:dyDescent="0.2">
      <c r="B124" s="39" t="s">
        <v>1626</v>
      </c>
      <c r="C124" s="40"/>
      <c r="D124" s="89" t="s">
        <v>528</v>
      </c>
      <c r="E124" s="57">
        <f>INDEX(Liste[],$E$2,129)</f>
        <v>0</v>
      </c>
      <c r="F124" s="71">
        <f>INDEX(Liste[],$E$2,127)</f>
        <v>0</v>
      </c>
      <c r="G124" s="71">
        <f>INDEX(Liste[],$E$2,128)</f>
        <v>0</v>
      </c>
      <c r="I124" s="7" t="str">
        <f t="shared" si="7"/>
        <v>BF</v>
      </c>
      <c r="J124" s="7" t="str">
        <f>D124&amp;"-"&amp;D125</f>
        <v>BF-BG</v>
      </c>
      <c r="K124" s="7" t="str">
        <f t="shared" si="11"/>
        <v>BF(N1)</v>
      </c>
      <c r="L124" s="163" t="str">
        <f>IFERROR(VLOOKUP(D124,Transco!B:E,4,FALSE),"")</f>
        <v>=INDEX(Liste;$E$2;129)</v>
      </c>
      <c r="M124" s="7" t="str">
        <f>IFERROR(VLOOKUP(J124,Transco!B:E,4,FALSE),"")</f>
        <v>=INDEX(Liste;$E$2;127)</v>
      </c>
      <c r="N124" s="7" t="str">
        <f>IFERROR(VLOOKUP(K124,Transco!B:E,4,FALSE),"")</f>
        <v>=INDEX(Liste;$E$2;128)</v>
      </c>
      <c r="O124" s="84" t="s">
        <v>2950</v>
      </c>
      <c r="P124" s="81">
        <f>INDEX(Liste[],$E$2,59)</f>
        <v>0</v>
      </c>
    </row>
    <row r="125" spans="2:16" x14ac:dyDescent="0.2">
      <c r="B125" s="75" t="s">
        <v>1600</v>
      </c>
      <c r="C125" s="40"/>
      <c r="D125" s="89" t="s">
        <v>525</v>
      </c>
      <c r="E125" s="57">
        <f>INDEX(Liste[],$E$2,126)</f>
        <v>0</v>
      </c>
      <c r="I125" s="7" t="str">
        <f t="shared" si="7"/>
        <v>BG</v>
      </c>
      <c r="K125" s="7" t="str">
        <f t="shared" si="11"/>
        <v>BG(N1)</v>
      </c>
      <c r="L125" s="163" t="str">
        <f>IFERROR(VLOOKUP(D125,Transco!B:E,4,FALSE),"")</f>
        <v>=INDEX(Liste;$E$2;126)</v>
      </c>
      <c r="M125" s="7" t="str">
        <f>IFERROR(VLOOKUP(J125,Transco!B:E,4,FALSE),"")</f>
        <v/>
      </c>
      <c r="N125" s="7" t="str">
        <f>IFERROR(VLOOKUP(K125,Transco!B:E,4,FALSE),"")</f>
        <v/>
      </c>
      <c r="O125" s="84" t="s">
        <v>2951</v>
      </c>
      <c r="P125" s="81">
        <f>INDEX(Liste[],$E$2,60)</f>
        <v>0</v>
      </c>
    </row>
    <row r="126" spans="2:16" x14ac:dyDescent="0.2">
      <c r="B126" s="39" t="s">
        <v>1627</v>
      </c>
      <c r="C126" s="40"/>
      <c r="D126" s="89" t="s">
        <v>420</v>
      </c>
      <c r="E126" s="57">
        <f>INDEX(Liste[],$E$2,16)</f>
        <v>0</v>
      </c>
      <c r="F126" s="71">
        <f>INDEX(Liste[],$E$2,14)</f>
        <v>0</v>
      </c>
      <c r="G126" s="71">
        <f>INDEX(Liste[],$E$2,15)</f>
        <v>0</v>
      </c>
      <c r="I126" s="7" t="str">
        <f t="shared" si="7"/>
        <v>BH</v>
      </c>
      <c r="J126" s="7" t="str">
        <f>D126&amp;"-"&amp;D127</f>
        <v>BH-BI</v>
      </c>
      <c r="K126" s="7" t="str">
        <f t="shared" si="11"/>
        <v>BH(N1)</v>
      </c>
      <c r="L126" s="163" t="str">
        <f>IFERROR(VLOOKUP(D126,Transco!B:E,4,FALSE),"")</f>
        <v>=INDEX(Liste;$E$2;16)</v>
      </c>
      <c r="M126" s="7" t="str">
        <f>IFERROR(VLOOKUP(J126,Transco!B:E,4,FALSE),"")</f>
        <v>=INDEX(Liste;$E$2;14)</v>
      </c>
      <c r="N126" s="7" t="str">
        <f>IFERROR(VLOOKUP(K126,Transco!B:E,4,FALSE),"")</f>
        <v>=INDEX(Liste;$E$2;15)</v>
      </c>
      <c r="O126" s="84" t="s">
        <v>2952</v>
      </c>
      <c r="P126" s="81">
        <f>INDEX(Liste[],$E$2,61)</f>
        <v>0</v>
      </c>
    </row>
    <row r="127" spans="2:16" x14ac:dyDescent="0.2">
      <c r="B127" s="75" t="s">
        <v>1600</v>
      </c>
      <c r="C127" s="40"/>
      <c r="D127" s="89" t="s">
        <v>417</v>
      </c>
      <c r="E127" s="57">
        <f>INDEX(Liste[],$E$2,13)</f>
        <v>0</v>
      </c>
      <c r="I127" s="7" t="str">
        <f t="shared" si="7"/>
        <v>BI</v>
      </c>
      <c r="K127" s="7" t="str">
        <f t="shared" si="11"/>
        <v>BI(N1)</v>
      </c>
      <c r="L127" s="163" t="str">
        <f>IFERROR(VLOOKUP(D127,Transco!B:E,4,FALSE),"")</f>
        <v>=INDEX(Liste;$E$2;13)</v>
      </c>
      <c r="M127" s="7" t="str">
        <f>IFERROR(VLOOKUP(J127,Transco!B:E,4,FALSE),"")</f>
        <v/>
      </c>
      <c r="N127" s="7" t="str">
        <f>IFERROR(VLOOKUP(K127,Transco!B:E,4,FALSE),"")</f>
        <v/>
      </c>
      <c r="O127" s="84" t="s">
        <v>131</v>
      </c>
      <c r="P127" s="81">
        <f>INDEX(Liste[],$E$2,62)</f>
        <v>0</v>
      </c>
    </row>
    <row r="128" spans="2:16" x14ac:dyDescent="0.2">
      <c r="C128" s="38"/>
      <c r="D128" s="90"/>
      <c r="E128" s="103"/>
      <c r="I128" s="7">
        <f t="shared" si="7"/>
        <v>0</v>
      </c>
      <c r="L128" s="163" t="str">
        <f>IFERROR(VLOOKUP(D128,Transco!B:E,4,FALSE),"")</f>
        <v/>
      </c>
      <c r="M128" s="7" t="str">
        <f>IFERROR(VLOOKUP(J128,Transco!B:E,4,FALSE),"")</f>
        <v/>
      </c>
      <c r="N128" s="7" t="str">
        <f>IFERROR(VLOOKUP(K128,Transco!B:E,4,FALSE),"")</f>
        <v/>
      </c>
      <c r="O128" s="84" t="s">
        <v>2953</v>
      </c>
      <c r="P128" s="81">
        <f>INDEX(Liste[],$E$2,63)</f>
        <v>0</v>
      </c>
    </row>
    <row r="129" spans="2:16" x14ac:dyDescent="0.2">
      <c r="B129" s="105" t="s">
        <v>1628</v>
      </c>
      <c r="C129" s="110"/>
      <c r="D129" s="146"/>
      <c r="I129" s="7">
        <f t="shared" si="7"/>
        <v>0</v>
      </c>
      <c r="L129" s="163" t="str">
        <f>IFERROR(VLOOKUP(D129,Transco!B:E,4,FALSE),"")</f>
        <v/>
      </c>
      <c r="M129" s="7" t="str">
        <f>IFERROR(VLOOKUP(J129,Transco!B:E,4,FALSE),"")</f>
        <v/>
      </c>
      <c r="N129" s="7" t="str">
        <f>IFERROR(VLOOKUP(K129,Transco!B:E,4,FALSE),"")</f>
        <v/>
      </c>
      <c r="O129" s="84" t="s">
        <v>2954</v>
      </c>
      <c r="P129" s="81">
        <f>INDEX(Liste[],$E$2,64)</f>
        <v>0</v>
      </c>
    </row>
    <row r="130" spans="2:16" x14ac:dyDescent="0.2">
      <c r="B130" s="46" t="s">
        <v>1628</v>
      </c>
      <c r="C130" s="40"/>
      <c r="D130" s="147" t="s">
        <v>524</v>
      </c>
      <c r="E130" s="57">
        <f>INDEX(Liste[],$E$2,160)</f>
        <v>0</v>
      </c>
      <c r="F130" s="71">
        <f>INDEX(Liste[],$E$2,158)</f>
        <v>0</v>
      </c>
      <c r="G130" s="71">
        <f>INDEX(Liste[],$E$2,159)</f>
        <v>0</v>
      </c>
      <c r="I130" s="7" t="str">
        <f t="shared" si="7"/>
        <v>CO4AB</v>
      </c>
      <c r="J130" s="7" t="str">
        <f>D130&amp;"-"&amp;D131</f>
        <v>CO4AB-CO4AA</v>
      </c>
      <c r="K130" s="7" t="str">
        <f>D130&amp;"(N1)"</f>
        <v>CO4AB(N1)</v>
      </c>
      <c r="L130" s="163" t="str">
        <f>IFERROR(VLOOKUP(D130,Transco!B:E,4,FALSE),"")</f>
        <v>=INDEX(Liste;$E$2;160)</v>
      </c>
      <c r="M130" s="7" t="str">
        <f>IFERROR(VLOOKUP(J130,Transco!B:E,4,FALSE),"")</f>
        <v>=INDEX(Liste;$E$2;158)</v>
      </c>
      <c r="N130" s="7" t="str">
        <f>IFERROR(VLOOKUP(K130,Transco!B:E,4,FALSE),"")</f>
        <v>=INDEX(Liste;$E$2;159)</v>
      </c>
      <c r="O130" s="84" t="s">
        <v>2955</v>
      </c>
      <c r="P130" s="81">
        <f>INDEX(Liste[],$E$2,65)</f>
        <v>0</v>
      </c>
    </row>
    <row r="131" spans="2:16" x14ac:dyDescent="0.2">
      <c r="B131" s="76" t="s">
        <v>1600</v>
      </c>
      <c r="C131" s="40"/>
      <c r="D131" s="147" t="s">
        <v>521</v>
      </c>
      <c r="E131" s="57">
        <f>INDEX(Liste[],$E$2,157)</f>
        <v>0</v>
      </c>
      <c r="I131" s="7" t="str">
        <f t="shared" si="7"/>
        <v>CO4AA</v>
      </c>
      <c r="K131" s="7" t="str">
        <f>D131&amp;"(N1)"</f>
        <v>CO4AA(N1)</v>
      </c>
      <c r="L131" s="163" t="str">
        <f>IFERROR(VLOOKUP(D131,Transco!B:E,4,FALSE),"")</f>
        <v>=INDEX(Liste;$E$2;157)</v>
      </c>
      <c r="M131" s="7" t="str">
        <f>IFERROR(VLOOKUP(J131,Transco!B:E,4,FALSE),"")</f>
        <v/>
      </c>
      <c r="N131" s="7" t="str">
        <f>IFERROR(VLOOKUP(K131,Transco!B:E,4,FALSE),"")</f>
        <v/>
      </c>
      <c r="O131" s="84" t="s">
        <v>135</v>
      </c>
      <c r="P131" s="81">
        <f>INDEX(Liste[],$E$2,66)</f>
        <v>0</v>
      </c>
    </row>
    <row r="132" spans="2:16" x14ac:dyDescent="0.2">
      <c r="I132" s="7">
        <f t="shared" si="7"/>
        <v>0</v>
      </c>
      <c r="L132" s="163" t="str">
        <f>IFERROR(VLOOKUP(D132,Transco!B:E,4,FALSE),"")</f>
        <v/>
      </c>
      <c r="M132" s="7" t="str">
        <f>IFERROR(VLOOKUP(J132,Transco!B:E,4,FALSE),"")</f>
        <v/>
      </c>
      <c r="N132" s="7" t="str">
        <f>IFERROR(VLOOKUP(K132,Transco!B:E,4,FALSE),"")</f>
        <v/>
      </c>
      <c r="O132" s="84" t="s">
        <v>2956</v>
      </c>
      <c r="P132" s="81">
        <f>INDEX(Liste[],$E$2,67)</f>
        <v>0</v>
      </c>
    </row>
    <row r="133" spans="2:16" x14ac:dyDescent="0.2">
      <c r="B133" s="111" t="s">
        <v>1804</v>
      </c>
      <c r="C133" s="112"/>
      <c r="D133" s="113" t="s">
        <v>544</v>
      </c>
      <c r="E133" s="114">
        <f>INDEX(Liste[],$E$2,144)</f>
        <v>0</v>
      </c>
      <c r="F133" s="115">
        <f>INDEX(Liste[],$E$2,142)</f>
        <v>25258000</v>
      </c>
      <c r="G133" s="115">
        <f>INDEX(Liste[],$E$2,143)</f>
        <v>24201000</v>
      </c>
      <c r="I133" s="7" t="str">
        <f t="shared" si="7"/>
        <v>BJ</v>
      </c>
      <c r="J133" s="7" t="str">
        <f>D133&amp;"-"&amp;D134</f>
        <v>BJ-BK</v>
      </c>
      <c r="K133" s="7" t="str">
        <f>D133&amp;"(N1)"</f>
        <v>BJ(N1)</v>
      </c>
      <c r="L133" s="163" t="str">
        <f>IFERROR(VLOOKUP(D133,Transco!B:E,4,FALSE),"")</f>
        <v>=INDEX(Liste;$E$2;144)</v>
      </c>
      <c r="M133" s="7" t="str">
        <f>IFERROR(VLOOKUP(J133,Transco!B:E,4,FALSE),"")</f>
        <v>=INDEX(Liste;$E$2;142)</v>
      </c>
      <c r="N133" s="7" t="str">
        <f>IFERROR(VLOOKUP(K133,Transco!B:E,4,FALSE),"")</f>
        <v>=INDEX(Liste;$E$2;143)</v>
      </c>
      <c r="O133" s="84" t="s">
        <v>2957</v>
      </c>
      <c r="P133" s="81">
        <f>INDEX(Liste[],$E$2,68)</f>
        <v>0</v>
      </c>
    </row>
    <row r="134" spans="2:16" x14ac:dyDescent="0.2">
      <c r="B134" s="111" t="s">
        <v>1629</v>
      </c>
      <c r="C134" s="112"/>
      <c r="D134" s="113" t="s">
        <v>541</v>
      </c>
      <c r="E134" s="114">
        <f>INDEX(Liste[],$E$2,141)</f>
        <v>0</v>
      </c>
      <c r="F134" s="116"/>
      <c r="G134" s="116"/>
      <c r="I134" s="7" t="str">
        <f t="shared" si="7"/>
        <v>BK</v>
      </c>
      <c r="K134" s="7" t="str">
        <f>D134&amp;"(N1)"</f>
        <v>BK(N1)</v>
      </c>
      <c r="L134" s="163" t="str">
        <f>IFERROR(VLOOKUP(D134,Transco!B:E,4,FALSE),"")</f>
        <v>=INDEX(Liste;$E$2;141)</v>
      </c>
      <c r="M134" s="7" t="str">
        <f>IFERROR(VLOOKUP(J134,Transco!B:E,4,FALSE),"")</f>
        <v/>
      </c>
      <c r="N134" s="7" t="str">
        <f>IFERROR(VLOOKUP(K134,Transco!B:E,4,FALSE),"")</f>
        <v/>
      </c>
      <c r="O134" s="84" t="s">
        <v>2958</v>
      </c>
      <c r="P134" s="81">
        <f>INDEX(Liste[],$E$2,69)</f>
        <v>0</v>
      </c>
    </row>
    <row r="135" spans="2:16" x14ac:dyDescent="0.2">
      <c r="I135" s="7">
        <f t="shared" si="7"/>
        <v>0</v>
      </c>
      <c r="L135" s="163" t="str">
        <f>IFERROR(VLOOKUP(D135,Transco!B:E,4,FALSE),"")</f>
        <v/>
      </c>
      <c r="M135" s="7" t="str">
        <f>IFERROR(VLOOKUP(J135,Transco!B:E,4,FALSE),"")</f>
        <v/>
      </c>
      <c r="N135" s="7" t="str">
        <f>IFERROR(VLOOKUP(K135,Transco!B:E,4,FALSE),"")</f>
        <v/>
      </c>
      <c r="O135" s="84" t="s">
        <v>2959</v>
      </c>
      <c r="P135" s="81">
        <f>INDEX(Liste[],$E$2,71)</f>
        <v>0</v>
      </c>
    </row>
    <row r="136" spans="2:16" x14ac:dyDescent="0.2">
      <c r="B136" s="105" t="s">
        <v>1630</v>
      </c>
      <c r="C136" s="38"/>
      <c r="D136" s="103"/>
      <c r="E136" s="103"/>
      <c r="I136" s="7">
        <f t="shared" si="7"/>
        <v>0</v>
      </c>
      <c r="L136" s="163" t="str">
        <f>IFERROR(VLOOKUP(D136,Transco!B:E,4,FALSE),"")</f>
        <v/>
      </c>
      <c r="M136" s="7" t="str">
        <f>IFERROR(VLOOKUP(J136,Transco!B:E,4,FALSE),"")</f>
        <v/>
      </c>
      <c r="N136" s="7" t="str">
        <f>IFERROR(VLOOKUP(K136,Transco!B:E,4,FALSE),"")</f>
        <v/>
      </c>
      <c r="O136" s="84" t="s">
        <v>2960</v>
      </c>
      <c r="P136" s="81">
        <f>INDEX(Liste[],$E$2,72)</f>
        <v>0</v>
      </c>
    </row>
    <row r="137" spans="2:16" x14ac:dyDescent="0.2">
      <c r="B137" s="39" t="s">
        <v>1631</v>
      </c>
      <c r="C137" s="40"/>
      <c r="D137" s="89" t="s">
        <v>520</v>
      </c>
      <c r="E137" s="57">
        <f>INDEX(Liste[],$E$2,121)</f>
        <v>0</v>
      </c>
      <c r="F137" s="71">
        <f>INDEX(Liste[],$E$2,119)</f>
        <v>0</v>
      </c>
      <c r="G137" s="71">
        <f>INDEX(Liste[],$E$2,120)</f>
        <v>0</v>
      </c>
      <c r="I137" s="7" t="str">
        <f t="shared" si="7"/>
        <v>BL</v>
      </c>
      <c r="J137" s="7" t="str">
        <f>D137&amp;"-"&amp;D138</f>
        <v>BL-BM</v>
      </c>
      <c r="K137" s="7" t="str">
        <f t="shared" ref="K137:K146" si="12">D137&amp;"(N1)"</f>
        <v>BL(N1)</v>
      </c>
      <c r="L137" s="163" t="str">
        <f>IFERROR(VLOOKUP(D137,Transco!B:E,4,FALSE),"")</f>
        <v>=INDEX(Liste;$E$2;121)</v>
      </c>
      <c r="M137" s="7" t="str">
        <f>IFERROR(VLOOKUP(J137,Transco!B:E,4,FALSE),"")</f>
        <v>=INDEX(Liste;$E$2;119)</v>
      </c>
      <c r="N137" s="7" t="str">
        <f>IFERROR(VLOOKUP(K137,Transco!B:E,4,FALSE),"")</f>
        <v>=INDEX(Liste;$E$2;120)</v>
      </c>
      <c r="O137" s="84" t="s">
        <v>2961</v>
      </c>
      <c r="P137" s="81">
        <f>INDEX(Liste[],$E$2,73)</f>
        <v>0</v>
      </c>
    </row>
    <row r="138" spans="2:16" x14ac:dyDescent="0.2">
      <c r="B138" s="75" t="s">
        <v>1600</v>
      </c>
      <c r="C138" s="40"/>
      <c r="D138" s="89" t="s">
        <v>517</v>
      </c>
      <c r="E138" s="57">
        <f>INDEX(Liste[],$E$2,118)</f>
        <v>0</v>
      </c>
      <c r="I138" s="7" t="str">
        <f t="shared" si="7"/>
        <v>BM</v>
      </c>
      <c r="K138" s="7" t="str">
        <f t="shared" si="12"/>
        <v>BM(N1)</v>
      </c>
      <c r="L138" s="163" t="str">
        <f>IFERROR(VLOOKUP(D138,Transco!B:E,4,FALSE),"")</f>
        <v>=INDEX(Liste;$E$2;118)</v>
      </c>
      <c r="M138" s="7" t="str">
        <f>IFERROR(VLOOKUP(J138,Transco!B:E,4,FALSE),"")</f>
        <v/>
      </c>
      <c r="N138" s="7" t="str">
        <f>IFERROR(VLOOKUP(K138,Transco!B:E,4,FALSE),"")</f>
        <v/>
      </c>
      <c r="O138" s="84" t="s">
        <v>2962</v>
      </c>
      <c r="P138" s="81">
        <f>INDEX(Liste[],$E$2,74)</f>
        <v>0</v>
      </c>
    </row>
    <row r="139" spans="2:16" x14ac:dyDescent="0.2">
      <c r="B139" s="39" t="s">
        <v>1632</v>
      </c>
      <c r="C139" s="40"/>
      <c r="D139" s="89" t="s">
        <v>490</v>
      </c>
      <c r="E139" s="57">
        <f>INDEX(Liste[],$E$2,89)</f>
        <v>0</v>
      </c>
      <c r="F139" s="71">
        <f>INDEX(Liste[],$E$2,87)</f>
        <v>0</v>
      </c>
      <c r="G139" s="71">
        <f>INDEX(Liste[],$E$2,88)</f>
        <v>0</v>
      </c>
      <c r="I139" s="7" t="str">
        <f t="shared" si="7"/>
        <v>BN</v>
      </c>
      <c r="J139" s="7" t="str">
        <f>D139&amp;"-"&amp;D140</f>
        <v>BN-BO</v>
      </c>
      <c r="K139" s="7" t="str">
        <f t="shared" si="12"/>
        <v>BN(N1)</v>
      </c>
      <c r="L139" s="163" t="str">
        <f>IFERROR(VLOOKUP(D139,Transco!B:E,4,FALSE),"")</f>
        <v>=INDEX(Liste;$E$2;89)</v>
      </c>
      <c r="M139" s="7" t="str">
        <f>IFERROR(VLOOKUP(J139,Transco!B:E,4,FALSE),"")</f>
        <v>=INDEX(Liste;$E$2;87)</v>
      </c>
      <c r="N139" s="7" t="str">
        <f>IFERROR(VLOOKUP(K139,Transco!B:E,4,FALSE),"")</f>
        <v>=INDEX(Liste;$E$2;88)</v>
      </c>
      <c r="O139" s="84" t="s">
        <v>2963</v>
      </c>
      <c r="P139" s="81">
        <f>INDEX(Liste[],$E$2,75)</f>
        <v>0</v>
      </c>
    </row>
    <row r="140" spans="2:16" x14ac:dyDescent="0.2">
      <c r="B140" s="75" t="s">
        <v>1600</v>
      </c>
      <c r="C140" s="40"/>
      <c r="D140" s="89" t="s">
        <v>487</v>
      </c>
      <c r="E140" s="57">
        <f>INDEX(Liste[],$E$2,86)</f>
        <v>0</v>
      </c>
      <c r="I140" s="7" t="str">
        <f t="shared" si="7"/>
        <v>BO</v>
      </c>
      <c r="K140" s="7" t="str">
        <f t="shared" si="12"/>
        <v>BO(N1)</v>
      </c>
      <c r="L140" s="163" t="str">
        <f>IFERROR(VLOOKUP(D140,Transco!B:E,4,FALSE),"")</f>
        <v>=INDEX(Liste;$E$2;86)</v>
      </c>
      <c r="M140" s="7" t="str">
        <f>IFERROR(VLOOKUP(J140,Transco!B:E,4,FALSE),"")</f>
        <v/>
      </c>
      <c r="N140" s="7" t="str">
        <f>IFERROR(VLOOKUP(K140,Transco!B:E,4,FALSE),"")</f>
        <v/>
      </c>
      <c r="O140" s="84" t="s">
        <v>2964</v>
      </c>
      <c r="P140" s="81">
        <f>INDEX(Liste[],$E$2,76)</f>
        <v>4615000</v>
      </c>
    </row>
    <row r="141" spans="2:16" x14ac:dyDescent="0.2">
      <c r="B141" s="39" t="s">
        <v>1633</v>
      </c>
      <c r="C141" s="40"/>
      <c r="D141" s="89" t="s">
        <v>494</v>
      </c>
      <c r="E141" s="57">
        <f>INDEX(Liste[],$E$2,93)</f>
        <v>0</v>
      </c>
      <c r="F141" s="71">
        <f>INDEX(Liste[],$E$2,91)</f>
        <v>0</v>
      </c>
      <c r="G141" s="71">
        <f>INDEX(Liste[],$E$2,92)</f>
        <v>0</v>
      </c>
      <c r="I141" s="7" t="str">
        <f t="shared" si="7"/>
        <v>BP</v>
      </c>
      <c r="J141" s="7" t="str">
        <f>D141&amp;"-"&amp;D142</f>
        <v>BP-BQ</v>
      </c>
      <c r="K141" s="7" t="str">
        <f t="shared" si="12"/>
        <v>BP(N1)</v>
      </c>
      <c r="L141" s="163" t="str">
        <f>IFERROR(VLOOKUP(D141,Transco!B:E,4,FALSE),"")</f>
        <v>=INDEX(Liste;$E$2;93)</v>
      </c>
      <c r="M141" s="7" t="str">
        <f>IFERROR(VLOOKUP(J141,Transco!B:E,4,FALSE),"")</f>
        <v>=INDEX(Liste;$E$2;91)</v>
      </c>
      <c r="N141" s="7" t="str">
        <f>IFERROR(VLOOKUP(K141,Transco!B:E,4,FALSE),"")</f>
        <v>=INDEX(Liste;$E$2;92)</v>
      </c>
      <c r="O141" s="84" t="s">
        <v>2965</v>
      </c>
      <c r="P141" s="81">
        <f>INDEX(Liste[],$E$2,77)</f>
        <v>13682000</v>
      </c>
    </row>
    <row r="142" spans="2:16" x14ac:dyDescent="0.2">
      <c r="B142" s="75" t="s">
        <v>1600</v>
      </c>
      <c r="C142" s="40"/>
      <c r="D142" s="89" t="s">
        <v>491</v>
      </c>
      <c r="E142" s="57">
        <f>INDEX(Liste[],$E$2,90)</f>
        <v>0</v>
      </c>
      <c r="I142" s="7" t="str">
        <f t="shared" ref="I142:I205" si="13">D142</f>
        <v>BQ</v>
      </c>
      <c r="K142" s="7" t="str">
        <f t="shared" si="12"/>
        <v>BQ(N1)</v>
      </c>
      <c r="L142" s="163" t="str">
        <f>IFERROR(VLOOKUP(D142,Transco!B:E,4,FALSE),"")</f>
        <v>=INDEX(Liste;$E$2;90)</v>
      </c>
      <c r="M142" s="7" t="str">
        <f>IFERROR(VLOOKUP(J142,Transco!B:E,4,FALSE),"")</f>
        <v/>
      </c>
      <c r="N142" s="7" t="str">
        <f>IFERROR(VLOOKUP(K142,Transco!B:E,4,FALSE),"")</f>
        <v/>
      </c>
      <c r="O142" s="84" t="s">
        <v>2966</v>
      </c>
      <c r="P142" s="81">
        <f>INDEX(Liste[],$E$2,78)</f>
        <v>0</v>
      </c>
    </row>
    <row r="143" spans="2:16" x14ac:dyDescent="0.2">
      <c r="B143" s="39" t="s">
        <v>1634</v>
      </c>
      <c r="C143" s="40"/>
      <c r="D143" s="89" t="s">
        <v>534</v>
      </c>
      <c r="E143" s="57">
        <f>INDEX(Liste[],$E$2,136)</f>
        <v>0</v>
      </c>
      <c r="F143" s="71">
        <f>INDEX(Liste[],$E$2,134)</f>
        <v>0</v>
      </c>
      <c r="G143" s="71">
        <f>INDEX(Liste[],$E$2,135)</f>
        <v>0</v>
      </c>
      <c r="I143" s="7" t="str">
        <f t="shared" si="13"/>
        <v>BR</v>
      </c>
      <c r="J143" s="7" t="str">
        <f>D143&amp;"-"&amp;D144</f>
        <v>BR-BS</v>
      </c>
      <c r="K143" s="7" t="str">
        <f t="shared" si="12"/>
        <v>BR(N1)</v>
      </c>
      <c r="L143" s="163" t="str">
        <f>IFERROR(VLOOKUP(D143,Transco!B:E,4,FALSE),"")</f>
        <v>=INDEX(Liste;$E$2;136)</v>
      </c>
      <c r="M143" s="7" t="str">
        <f>IFERROR(VLOOKUP(J143,Transco!B:E,4,FALSE),"")</f>
        <v>=INDEX(Liste;$E$2;134)</v>
      </c>
      <c r="N143" s="7" t="str">
        <f>IFERROR(VLOOKUP(K143,Transco!B:E,4,FALSE),"")</f>
        <v>=INDEX(Liste;$E$2;135)</v>
      </c>
      <c r="O143" s="84" t="s">
        <v>2967</v>
      </c>
      <c r="P143" s="81">
        <f>INDEX(Liste[],$E$2,79)</f>
        <v>0</v>
      </c>
    </row>
    <row r="144" spans="2:16" x14ac:dyDescent="0.2">
      <c r="B144" s="75" t="s">
        <v>1600</v>
      </c>
      <c r="C144" s="40"/>
      <c r="D144" s="89" t="s">
        <v>531</v>
      </c>
      <c r="E144" s="57">
        <f>INDEX(Liste[],$E$2,133)</f>
        <v>0</v>
      </c>
      <c r="I144" s="7" t="str">
        <f t="shared" si="13"/>
        <v>BS</v>
      </c>
      <c r="K144" s="7" t="str">
        <f t="shared" si="12"/>
        <v>BS(N1)</v>
      </c>
      <c r="L144" s="163" t="str">
        <f>IFERROR(VLOOKUP(D144,Transco!B:E,4,FALSE),"")</f>
        <v>=INDEX(Liste;$E$2;133)</v>
      </c>
      <c r="M144" s="7" t="str">
        <f>IFERROR(VLOOKUP(J144,Transco!B:E,4,FALSE),"")</f>
        <v/>
      </c>
      <c r="N144" s="7" t="str">
        <f>IFERROR(VLOOKUP(K144,Transco!B:E,4,FALSE),"")</f>
        <v/>
      </c>
      <c r="O144" s="84" t="s">
        <v>2968</v>
      </c>
      <c r="P144" s="81">
        <f>INDEX(Liste[],$E$2,80)</f>
        <v>0</v>
      </c>
    </row>
    <row r="145" spans="2:16" x14ac:dyDescent="0.2">
      <c r="B145" s="39" t="s">
        <v>1635</v>
      </c>
      <c r="C145" s="40"/>
      <c r="D145" s="89" t="s">
        <v>516</v>
      </c>
      <c r="E145" s="57">
        <f>INDEX(Liste[],$E$2,117)</f>
        <v>0</v>
      </c>
      <c r="F145" s="71">
        <f>INDEX(Liste[],$E$2,115)</f>
        <v>0</v>
      </c>
      <c r="G145" s="71">
        <f>INDEX(Liste[],$E$2,116)</f>
        <v>0</v>
      </c>
      <c r="I145" s="7" t="str">
        <f t="shared" si="13"/>
        <v>BT</v>
      </c>
      <c r="J145" s="7" t="str">
        <f>D145&amp;"-"&amp;D146</f>
        <v>BT-BU</v>
      </c>
      <c r="K145" s="7" t="str">
        <f t="shared" si="12"/>
        <v>BT(N1)</v>
      </c>
      <c r="L145" s="163" t="str">
        <f>IFERROR(VLOOKUP(D145,Transco!B:E,4,FALSE),"")</f>
        <v>=INDEX(Liste;$E$2;117)</v>
      </c>
      <c r="M145" s="7" t="str">
        <f>IFERROR(VLOOKUP(J145,Transco!B:E,4,FALSE),"")</f>
        <v>=INDEX(Liste;$E$2;115)</v>
      </c>
      <c r="N145" s="7" t="str">
        <f>IFERROR(VLOOKUP(K145,Transco!B:E,4,FALSE),"")</f>
        <v>=INDEX(Liste;$E$2;116)</v>
      </c>
      <c r="O145" s="84" t="s">
        <v>2969</v>
      </c>
      <c r="P145" s="81">
        <f>INDEX(Liste[],$E$2,81)</f>
        <v>0</v>
      </c>
    </row>
    <row r="146" spans="2:16" x14ac:dyDescent="0.2">
      <c r="B146" s="75" t="s">
        <v>1600</v>
      </c>
      <c r="C146" s="40"/>
      <c r="D146" s="89" t="s">
        <v>513</v>
      </c>
      <c r="E146" s="57">
        <f>INDEX(Liste[],$E$2,114)</f>
        <v>0</v>
      </c>
      <c r="I146" s="7" t="str">
        <f t="shared" si="13"/>
        <v>BU</v>
      </c>
      <c r="K146" s="7" t="str">
        <f t="shared" si="12"/>
        <v>BU(N1)</v>
      </c>
      <c r="L146" s="163" t="str">
        <f>IFERROR(VLOOKUP(D146,Transco!B:E,4,FALSE),"")</f>
        <v>=INDEX(Liste;$E$2;114)</v>
      </c>
      <c r="M146" s="7" t="str">
        <f>IFERROR(VLOOKUP(J146,Transco!B:E,4,FALSE),"")</f>
        <v/>
      </c>
      <c r="N146" s="7" t="str">
        <f>IFERROR(VLOOKUP(K146,Transco!B:E,4,FALSE),"")</f>
        <v/>
      </c>
      <c r="O146" s="84" t="s">
        <v>146</v>
      </c>
      <c r="P146" s="81">
        <f>INDEX(Liste[],$E$2,82)</f>
        <v>0</v>
      </c>
    </row>
    <row r="147" spans="2:16" x14ac:dyDescent="0.2">
      <c r="D147" s="1"/>
      <c r="I147" s="7">
        <f t="shared" si="13"/>
        <v>0</v>
      </c>
      <c r="L147" s="163" t="str">
        <f>IFERROR(VLOOKUP(D147,Transco!B:E,4,FALSE),"")</f>
        <v/>
      </c>
      <c r="M147" s="7" t="str">
        <f>IFERROR(VLOOKUP(J147,Transco!B:E,4,FALSE),"")</f>
        <v/>
      </c>
      <c r="N147" s="7" t="str">
        <f>IFERROR(VLOOKUP(K147,Transco!B:E,4,FALSE),"")</f>
        <v/>
      </c>
      <c r="O147" s="84" t="s">
        <v>2970</v>
      </c>
      <c r="P147" s="81">
        <f>INDEX(Liste[],$E$2,83)</f>
        <v>20647000</v>
      </c>
    </row>
    <row r="148" spans="2:16" x14ac:dyDescent="0.2">
      <c r="B148" s="105" t="s">
        <v>1636</v>
      </c>
      <c r="C148" s="38"/>
      <c r="D148" s="90"/>
      <c r="E148" s="103"/>
      <c r="I148" s="7">
        <f t="shared" si="13"/>
        <v>0</v>
      </c>
      <c r="L148" s="163" t="str">
        <f>IFERROR(VLOOKUP(D148,Transco!B:E,4,FALSE),"")</f>
        <v/>
      </c>
      <c r="M148" s="7" t="str">
        <f>IFERROR(VLOOKUP(J148,Transco!B:E,4,FALSE),"")</f>
        <v/>
      </c>
      <c r="N148" s="7" t="str">
        <f>IFERROR(VLOOKUP(K148,Transco!B:E,4,FALSE),"")</f>
        <v/>
      </c>
      <c r="O148" s="84" t="s">
        <v>2971</v>
      </c>
      <c r="P148" s="81">
        <f>INDEX(Liste[],$E$2,84)</f>
        <v>21652000</v>
      </c>
    </row>
    <row r="149" spans="2:16" x14ac:dyDescent="0.2">
      <c r="B149" s="39" t="s">
        <v>1637</v>
      </c>
      <c r="C149" s="40"/>
      <c r="D149" s="89" t="s">
        <v>444</v>
      </c>
      <c r="E149" s="57">
        <f>INDEX(Liste[],$E$2,40)</f>
        <v>0</v>
      </c>
      <c r="F149" s="71">
        <f>INDEX(Liste[],$E$2,38)</f>
        <v>0</v>
      </c>
      <c r="G149" s="71">
        <f>INDEX(Liste[],$E$2,39)</f>
        <v>0</v>
      </c>
      <c r="I149" s="7" t="str">
        <f t="shared" si="13"/>
        <v>BV</v>
      </c>
      <c r="J149" s="7" t="str">
        <f>D149&amp;"-"&amp;D150</f>
        <v>BV-BW</v>
      </c>
      <c r="K149" s="7" t="str">
        <f t="shared" ref="K149:K162" si="14">D149&amp;"(N1)"</f>
        <v>BV(N1)</v>
      </c>
      <c r="L149" s="163" t="str">
        <f>IFERROR(VLOOKUP(D149,Transco!B:E,4,FALSE),"")</f>
        <v>=INDEX(Liste;$E$2;40)</v>
      </c>
      <c r="M149" s="7" t="str">
        <f>IFERROR(VLOOKUP(J149,Transco!B:E,4,FALSE),"")</f>
        <v>=INDEX(Liste;$E$2;38)</v>
      </c>
      <c r="N149" s="7" t="str">
        <f>IFERROR(VLOOKUP(K149,Transco!B:E,4,FALSE),"")</f>
        <v>=INDEX(Liste;$E$2;39)</v>
      </c>
      <c r="O149" s="84" t="s">
        <v>2972</v>
      </c>
      <c r="P149" s="81">
        <f>INDEX(Liste[],$E$2,85)</f>
        <v>0</v>
      </c>
    </row>
    <row r="150" spans="2:16" x14ac:dyDescent="0.2">
      <c r="B150" s="75" t="s">
        <v>1600</v>
      </c>
      <c r="C150" s="40"/>
      <c r="D150" s="89" t="s">
        <v>441</v>
      </c>
      <c r="E150" s="57">
        <f>INDEX(Liste[],$E$2,37)</f>
        <v>0</v>
      </c>
      <c r="I150" s="7" t="str">
        <f t="shared" si="13"/>
        <v>BW</v>
      </c>
      <c r="K150" s="7" t="str">
        <f t="shared" si="14"/>
        <v>BW(N1)</v>
      </c>
      <c r="L150" s="163" t="str">
        <f>IFERROR(VLOOKUP(D150,Transco!B:E,4,FALSE),"")</f>
        <v>=INDEX(Liste;$E$2;37)</v>
      </c>
      <c r="M150" s="7" t="str">
        <f>IFERROR(VLOOKUP(J150,Transco!B:E,4,FALSE),"")</f>
        <v/>
      </c>
      <c r="N150" s="7" t="str">
        <f>IFERROR(VLOOKUP(K150,Transco!B:E,4,FALSE),"")</f>
        <v/>
      </c>
      <c r="O150" s="84" t="s">
        <v>2973</v>
      </c>
      <c r="P150" s="81">
        <f>INDEX(Liste[],$E$2,86)</f>
        <v>0</v>
      </c>
    </row>
    <row r="151" spans="2:16" x14ac:dyDescent="0.2">
      <c r="B151" s="39" t="s">
        <v>1638</v>
      </c>
      <c r="C151" s="40"/>
      <c r="D151" s="89" t="s">
        <v>460</v>
      </c>
      <c r="E151" s="57">
        <f>INDEX(Liste[],$E$2,58)</f>
        <v>0</v>
      </c>
      <c r="F151" s="71">
        <f>INDEX(Liste[],$E$2,56)</f>
        <v>8228000</v>
      </c>
      <c r="G151" s="71">
        <f>INDEX(Liste[],$E$2,57)</f>
        <v>3827000</v>
      </c>
      <c r="I151" s="7" t="str">
        <f t="shared" si="13"/>
        <v>BX</v>
      </c>
      <c r="J151" s="7" t="str">
        <f>D151&amp;"-"&amp;D152</f>
        <v>BX-BY</v>
      </c>
      <c r="K151" s="7" t="str">
        <f t="shared" si="14"/>
        <v>BX(N1)</v>
      </c>
      <c r="L151" s="163" t="str">
        <f>IFERROR(VLOOKUP(D151,Transco!B:E,4,FALSE),"")</f>
        <v>=INDEX(Liste;$E$2;58)</v>
      </c>
      <c r="M151" s="7" t="str">
        <f>IFERROR(VLOOKUP(J151,Transco!B:E,4,FALSE),"")</f>
        <v>=INDEX(Liste;$E$2;56)</v>
      </c>
      <c r="N151" s="7" t="str">
        <f>IFERROR(VLOOKUP(K151,Transco!B:E,4,FALSE),"")</f>
        <v>=INDEX(Liste;$E$2;57)</v>
      </c>
      <c r="O151" s="84" t="s">
        <v>2974</v>
      </c>
      <c r="P151" s="81">
        <f>INDEX(Liste[],$E$2,87)</f>
        <v>0</v>
      </c>
    </row>
    <row r="152" spans="2:16" x14ac:dyDescent="0.2">
      <c r="B152" s="75" t="s">
        <v>1600</v>
      </c>
      <c r="C152" s="40"/>
      <c r="D152" s="89" t="s">
        <v>457</v>
      </c>
      <c r="E152" s="57">
        <f>INDEX(Liste[],$E$2,55)</f>
        <v>0</v>
      </c>
      <c r="I152" s="7" t="str">
        <f t="shared" si="13"/>
        <v>BY</v>
      </c>
      <c r="K152" s="7" t="str">
        <f t="shared" si="14"/>
        <v>BY(N1)</v>
      </c>
      <c r="L152" s="163" t="str">
        <f>IFERROR(VLOOKUP(D152,Transco!B:E,4,FALSE),"")</f>
        <v>=INDEX(Liste;$E$2;55)</v>
      </c>
      <c r="M152" s="7" t="str">
        <f>IFERROR(VLOOKUP(J152,Transco!B:E,4,FALSE),"")</f>
        <v/>
      </c>
      <c r="N152" s="7" t="str">
        <f>IFERROR(VLOOKUP(K152,Transco!B:E,4,FALSE),"")</f>
        <v/>
      </c>
      <c r="O152" s="84" t="s">
        <v>2975</v>
      </c>
      <c r="P152" s="81">
        <f>INDEX(Liste[],$E$2,88)</f>
        <v>0</v>
      </c>
    </row>
    <row r="153" spans="2:16" x14ac:dyDescent="0.2">
      <c r="B153" s="39" t="s">
        <v>1639</v>
      </c>
      <c r="C153" s="40"/>
      <c r="D153" s="89" t="s">
        <v>412</v>
      </c>
      <c r="E153" s="57">
        <f>INDEX(Liste[],$E$2,8)</f>
        <v>0</v>
      </c>
      <c r="F153" s="71">
        <f>INDEX(Liste[],$E$2,6)</f>
        <v>0</v>
      </c>
      <c r="G153" s="71"/>
      <c r="I153" s="7" t="str">
        <f t="shared" si="13"/>
        <v>BZ</v>
      </c>
      <c r="J153" s="7" t="str">
        <f>D153&amp;"-"&amp;D154</f>
        <v>BZ-CA</v>
      </c>
      <c r="K153" s="7" t="str">
        <f t="shared" si="14"/>
        <v>BZ(N1)</v>
      </c>
      <c r="L153" s="163" t="str">
        <f>IFERROR(VLOOKUP(D153,Transco!B:E,4,FALSE),"")</f>
        <v>=INDEX(Liste;$E$2;8)</v>
      </c>
      <c r="M153" s="7" t="str">
        <f>IFERROR(VLOOKUP(J153,Transco!B:E,4,FALSE),"")</f>
        <v>=INDEX(Liste;$E$2;6)</v>
      </c>
      <c r="N153" s="7" t="str">
        <f>IFERROR(VLOOKUP(K153,Transco!B:E,4,FALSE),"")</f>
        <v/>
      </c>
      <c r="O153" s="84" t="s">
        <v>2976</v>
      </c>
      <c r="P153" s="81">
        <f>INDEX(Liste[],$E$2,89)</f>
        <v>0</v>
      </c>
    </row>
    <row r="154" spans="2:16" x14ac:dyDescent="0.2">
      <c r="B154" s="75" t="s">
        <v>1600</v>
      </c>
      <c r="C154" s="40"/>
      <c r="D154" s="89" t="s">
        <v>409</v>
      </c>
      <c r="E154" s="57">
        <f>INDEX(Liste[],$E$2,5)</f>
        <v>0</v>
      </c>
      <c r="I154" s="7" t="str">
        <f t="shared" si="13"/>
        <v>CA</v>
      </c>
      <c r="K154" s="7" t="str">
        <f t="shared" si="14"/>
        <v>CA(N1)</v>
      </c>
      <c r="L154" s="163" t="str">
        <f>IFERROR(VLOOKUP(D154,Transco!B:E,4,FALSE),"")</f>
        <v>=INDEX(Liste;$E$2;5)</v>
      </c>
      <c r="M154" s="7" t="str">
        <f>IFERROR(VLOOKUP(J154,Transco!B:E,4,FALSE),"")</f>
        <v/>
      </c>
      <c r="N154" s="7" t="str">
        <f>IFERROR(VLOOKUP(K154,Transco!B:E,4,FALSE),"")</f>
        <v/>
      </c>
      <c r="O154" s="84" t="s">
        <v>154</v>
      </c>
      <c r="P154" s="81">
        <f>INDEX(Liste[],$E$2,90)</f>
        <v>0</v>
      </c>
    </row>
    <row r="155" spans="2:16" x14ac:dyDescent="0.2">
      <c r="B155" s="39" t="s">
        <v>1640</v>
      </c>
      <c r="C155" s="40"/>
      <c r="D155" s="89" t="s">
        <v>448</v>
      </c>
      <c r="E155" s="57">
        <f>INDEX(Liste[],$E$2,44)</f>
        <v>0</v>
      </c>
      <c r="F155" s="71">
        <f>INDEX(Liste[],$E$2,42)</f>
        <v>0</v>
      </c>
      <c r="G155" s="71">
        <f>INDEX(Liste[],$E$2,43)</f>
        <v>0</v>
      </c>
      <c r="I155" s="7" t="str">
        <f t="shared" si="13"/>
        <v>CB</v>
      </c>
      <c r="J155" s="7" t="str">
        <f>D155&amp;"-"&amp;D156</f>
        <v>CB-CC</v>
      </c>
      <c r="K155" s="7" t="str">
        <f t="shared" si="14"/>
        <v>CB(N1)</v>
      </c>
      <c r="L155" s="163" t="str">
        <f>IFERROR(VLOOKUP(D155,Transco!B:E,4,FALSE),"")</f>
        <v>=INDEX(Liste;$E$2;44)</v>
      </c>
      <c r="M155" s="7" t="str">
        <f>IFERROR(VLOOKUP(J155,Transco!B:E,4,FALSE),"")</f>
        <v>=INDEX(Liste;$E$2;42)</v>
      </c>
      <c r="N155" s="7" t="str">
        <f>IFERROR(VLOOKUP(K155,Transco!B:E,4,FALSE),"")</f>
        <v>=INDEX(Liste;$E$2;43)</v>
      </c>
      <c r="O155" s="84" t="s">
        <v>2977</v>
      </c>
      <c r="P155" s="81">
        <f>INDEX(Liste[],$E$2,91)</f>
        <v>0</v>
      </c>
    </row>
    <row r="156" spans="2:16" x14ac:dyDescent="0.2">
      <c r="B156" s="48" t="s">
        <v>1600</v>
      </c>
      <c r="C156" s="40"/>
      <c r="D156" s="89" t="s">
        <v>445</v>
      </c>
      <c r="E156" s="57">
        <f>INDEX(Liste[],$E$2,41)</f>
        <v>0</v>
      </c>
      <c r="I156" s="7" t="str">
        <f t="shared" si="13"/>
        <v>CC</v>
      </c>
      <c r="K156" s="7" t="str">
        <f t="shared" si="14"/>
        <v>CC(N1)</v>
      </c>
      <c r="L156" s="163" t="str">
        <f>IFERROR(VLOOKUP(D156,Transco!B:E,4,FALSE),"")</f>
        <v>=INDEX(Liste;$E$2;41)</v>
      </c>
      <c r="M156" s="7" t="str">
        <f>IFERROR(VLOOKUP(J156,Transco!B:E,4,FALSE),"")</f>
        <v/>
      </c>
      <c r="N156" s="7" t="str">
        <f>IFERROR(VLOOKUP(K156,Transco!B:E,4,FALSE),"")</f>
        <v/>
      </c>
      <c r="O156" s="84" t="s">
        <v>2978</v>
      </c>
      <c r="P156" s="81">
        <f>INDEX(Liste[],$E$2,92)</f>
        <v>0</v>
      </c>
    </row>
    <row r="157" spans="2:16" x14ac:dyDescent="0.2">
      <c r="B157" s="39" t="s">
        <v>1641</v>
      </c>
      <c r="C157" s="40"/>
      <c r="D157" s="89" t="s">
        <v>556</v>
      </c>
      <c r="E157" s="117">
        <f>INDEX(Liste[],$E$2,164)</f>
        <v>0</v>
      </c>
      <c r="F157" s="71">
        <f>INDEX(Liste[],$E$2,162)</f>
        <v>0</v>
      </c>
      <c r="G157" s="71">
        <f>INDEX(Liste[],$E$2,163)</f>
        <v>0</v>
      </c>
      <c r="I157" s="7" t="str">
        <f t="shared" si="13"/>
        <v>CD</v>
      </c>
      <c r="J157" s="7" t="str">
        <f>D157&amp;"-"&amp;D158</f>
        <v>CD-CE</v>
      </c>
      <c r="K157" s="7" t="str">
        <f t="shared" si="14"/>
        <v>CD(N1)</v>
      </c>
      <c r="L157" s="163" t="str">
        <f>IFERROR(VLOOKUP(D157,Transco!B:E,4,FALSE),"")</f>
        <v>=INDEX(Liste;$E$2;164)</v>
      </c>
      <c r="M157" s="7" t="str">
        <f>IFERROR(VLOOKUP(J157,Transco!B:E,4,FALSE),"")</f>
        <v>=INDEX(Liste;$E$2;162)</v>
      </c>
      <c r="N157" s="7" t="str">
        <f>IFERROR(VLOOKUP(K157,Transco!B:E,4,FALSE),"")</f>
        <v>=INDEX(Liste;$E$2;163)</v>
      </c>
      <c r="O157" s="84" t="s">
        <v>2979</v>
      </c>
      <c r="P157" s="81">
        <f>INDEX(Liste[],$E$2,93)</f>
        <v>0</v>
      </c>
    </row>
    <row r="158" spans="2:16" x14ac:dyDescent="0.2">
      <c r="B158" s="75" t="s">
        <v>1600</v>
      </c>
      <c r="C158" s="40"/>
      <c r="D158" s="89" t="s">
        <v>553</v>
      </c>
      <c r="E158" s="117">
        <f>INDEX(Liste[],$E$2,161)</f>
        <v>0</v>
      </c>
      <c r="I158" s="7" t="str">
        <f t="shared" si="13"/>
        <v>CE</v>
      </c>
      <c r="K158" s="7" t="str">
        <f t="shared" si="14"/>
        <v>CE(N1)</v>
      </c>
      <c r="L158" s="163" t="str">
        <f>IFERROR(VLOOKUP(D158,Transco!B:E,4,FALSE),"")</f>
        <v>=INDEX(Liste;$E$2;161)</v>
      </c>
      <c r="M158" s="7" t="str">
        <f>IFERROR(VLOOKUP(J158,Transco!B:E,4,FALSE),"")</f>
        <v/>
      </c>
      <c r="N158" s="7" t="str">
        <f>IFERROR(VLOOKUP(K158,Transco!B:E,4,FALSE),"")</f>
        <v/>
      </c>
      <c r="O158" s="84" t="s">
        <v>158</v>
      </c>
      <c r="P158" s="81">
        <f>INDEX(Liste[],$E$2,94)</f>
        <v>0</v>
      </c>
    </row>
    <row r="159" spans="2:16" x14ac:dyDescent="0.2">
      <c r="B159" s="39" t="s">
        <v>1642</v>
      </c>
      <c r="C159" s="40"/>
      <c r="D159" s="89" t="s">
        <v>480</v>
      </c>
      <c r="E159" s="57">
        <f>INDEX(Liste[],$E$2,78)</f>
        <v>0</v>
      </c>
      <c r="F159" s="71">
        <f>INDEX(Liste[],$E$2,76)</f>
        <v>4615000</v>
      </c>
      <c r="G159" s="71">
        <f>INDEX(Liste[],$E$2,77)</f>
        <v>13682000</v>
      </c>
      <c r="I159" s="7" t="str">
        <f t="shared" si="13"/>
        <v>CF</v>
      </c>
      <c r="J159" s="7" t="str">
        <f>D159&amp;"-"&amp;D160</f>
        <v>CF-CG</v>
      </c>
      <c r="K159" s="7" t="str">
        <f t="shared" si="14"/>
        <v>CF(N1)</v>
      </c>
      <c r="L159" s="163" t="str">
        <f>IFERROR(VLOOKUP(D159,Transco!B:E,4,FALSE),"")</f>
        <v>=INDEX(Liste;$E$2;78)</v>
      </c>
      <c r="M159" s="7" t="str">
        <f>IFERROR(VLOOKUP(J159,Transco!B:E,4,FALSE),"")</f>
        <v>=INDEX(Liste;$E$2;76)</v>
      </c>
      <c r="N159" s="7" t="str">
        <f>IFERROR(VLOOKUP(K159,Transco!B:E,4,FALSE),"")</f>
        <v>=INDEX(Liste;$E$2;77)</v>
      </c>
      <c r="O159" s="84" t="s">
        <v>2980</v>
      </c>
      <c r="P159" s="81">
        <f>INDEX(Liste[],$E$2,95)</f>
        <v>0</v>
      </c>
    </row>
    <row r="160" spans="2:16" x14ac:dyDescent="0.2">
      <c r="B160" s="75" t="s">
        <v>1600</v>
      </c>
      <c r="C160" s="40"/>
      <c r="D160" s="89" t="s">
        <v>477</v>
      </c>
      <c r="E160" s="57">
        <f>INDEX(Liste[],$E$2,75)</f>
        <v>0</v>
      </c>
      <c r="I160" s="7" t="str">
        <f t="shared" si="13"/>
        <v>CG</v>
      </c>
      <c r="K160" s="7" t="str">
        <f t="shared" si="14"/>
        <v>CG(N1)</v>
      </c>
      <c r="L160" s="163" t="str">
        <f>IFERROR(VLOOKUP(D160,Transco!B:E,4,FALSE),"")</f>
        <v>=INDEX(Liste;$E$2;75)</v>
      </c>
      <c r="M160" s="7" t="str">
        <f>IFERROR(VLOOKUP(J160,Transco!B:E,4,FALSE),"")</f>
        <v/>
      </c>
      <c r="N160" s="7" t="str">
        <f>IFERROR(VLOOKUP(K160,Transco!B:E,4,FALSE),"")</f>
        <v/>
      </c>
      <c r="O160" s="84" t="s">
        <v>2981</v>
      </c>
      <c r="P160" s="81">
        <f>INDEX(Liste[],$E$2,96)</f>
        <v>0</v>
      </c>
    </row>
    <row r="161" spans="2:16" x14ac:dyDescent="0.2">
      <c r="B161" s="39" t="s">
        <v>1643</v>
      </c>
      <c r="C161" s="40"/>
      <c r="D161" s="89" t="s">
        <v>456</v>
      </c>
      <c r="E161" s="57">
        <f>INDEX(Liste[],$E$2,54)</f>
        <v>0</v>
      </c>
      <c r="F161" s="71">
        <f>INDEX(Liste[],$E$2,52)</f>
        <v>0</v>
      </c>
      <c r="G161" s="71">
        <f>INDEX(Liste[],$E$2,53)</f>
        <v>0</v>
      </c>
      <c r="I161" s="7" t="str">
        <f t="shared" si="13"/>
        <v>CH</v>
      </c>
      <c r="J161" s="7" t="str">
        <f>D161&amp;"-"&amp;D162</f>
        <v>CH-CI</v>
      </c>
      <c r="K161" s="7" t="str">
        <f t="shared" si="14"/>
        <v>CH(N1)</v>
      </c>
      <c r="L161" s="163" t="str">
        <f>IFERROR(VLOOKUP(D161,Transco!B:E,4,FALSE),"")</f>
        <v>=INDEX(Liste;$E$2;54)</v>
      </c>
      <c r="M161" s="7" t="str">
        <f>IFERROR(VLOOKUP(J161,Transco!B:E,4,FALSE),"")</f>
        <v>=INDEX(Liste;$E$2;52)</v>
      </c>
      <c r="N161" s="7" t="str">
        <f>IFERROR(VLOOKUP(K161,Transco!B:E,4,FALSE),"")</f>
        <v>=INDEX(Liste;$E$2;53)</v>
      </c>
      <c r="O161" s="84" t="s">
        <v>2982</v>
      </c>
      <c r="P161" s="81">
        <f>INDEX(Liste[],$E$2,97)</f>
        <v>0</v>
      </c>
    </row>
    <row r="162" spans="2:16" x14ac:dyDescent="0.2">
      <c r="B162" s="75" t="s">
        <v>1600</v>
      </c>
      <c r="C162" s="40"/>
      <c r="D162" s="89" t="s">
        <v>453</v>
      </c>
      <c r="E162" s="57">
        <f>INDEX(Liste[],$E$2,51)</f>
        <v>0</v>
      </c>
      <c r="I162" s="7" t="str">
        <f t="shared" si="13"/>
        <v>CI</v>
      </c>
      <c r="K162" s="7" t="str">
        <f t="shared" si="14"/>
        <v>CI(N1)</v>
      </c>
      <c r="L162" s="163" t="str">
        <f>IFERROR(VLOOKUP(D162,Transco!B:E,4,FALSE),"")</f>
        <v>=INDEX(Liste;$E$2;51)</v>
      </c>
      <c r="M162" s="7" t="str">
        <f>IFERROR(VLOOKUP(J162,Transco!B:E,4,FALSE),"")</f>
        <v/>
      </c>
      <c r="N162" s="7" t="str">
        <f>IFERROR(VLOOKUP(K162,Transco!B:E,4,FALSE),"")</f>
        <v/>
      </c>
      <c r="O162" s="84" t="s">
        <v>162</v>
      </c>
      <c r="P162" s="81">
        <f>INDEX(Liste[],$E$2,98)</f>
        <v>0</v>
      </c>
    </row>
    <row r="163" spans="2:16" x14ac:dyDescent="0.2">
      <c r="I163" s="7">
        <f t="shared" si="13"/>
        <v>0</v>
      </c>
      <c r="L163" s="163" t="str">
        <f>IFERROR(VLOOKUP(D163,Transco!B:E,4,FALSE),"")</f>
        <v/>
      </c>
      <c r="M163" s="7" t="str">
        <f>IFERROR(VLOOKUP(J163,Transco!B:E,4,FALSE),"")</f>
        <v/>
      </c>
      <c r="N163" s="7" t="str">
        <f>IFERROR(VLOOKUP(K163,Transco!B:E,4,FALSE),"")</f>
        <v/>
      </c>
      <c r="O163" s="84" t="s">
        <v>2983</v>
      </c>
      <c r="P163" s="81">
        <f>INDEX(Liste[],$E$2,99)</f>
        <v>0</v>
      </c>
    </row>
    <row r="164" spans="2:16" x14ac:dyDescent="0.2">
      <c r="B164" s="118" t="s">
        <v>1805</v>
      </c>
      <c r="C164" s="119"/>
      <c r="D164" s="120" t="s">
        <v>1644</v>
      </c>
      <c r="E164" s="114">
        <f>INDEX(Liste[],$E$2,148)</f>
        <v>0</v>
      </c>
      <c r="F164" s="115">
        <f>INDEX(Liste[],$E$2,146)</f>
        <v>41941000</v>
      </c>
      <c r="G164" s="115">
        <f>INDEX(Liste[],$E$2,147)</f>
        <v>42430000</v>
      </c>
      <c r="I164" s="7" t="str">
        <f t="shared" si="13"/>
        <v>CJ</v>
      </c>
      <c r="J164" s="7" t="str">
        <f>D164&amp;"-"&amp;D165</f>
        <v>CJ-CK</v>
      </c>
      <c r="K164" s="7" t="str">
        <f>D164&amp;"(N1)"</f>
        <v>CJ(N1)</v>
      </c>
      <c r="L164" s="163" t="str">
        <f>IFERROR(VLOOKUP(D164,Transco!B:E,4,FALSE),"")</f>
        <v>=INDEX(Liste;$E$2;148)</v>
      </c>
      <c r="M164" s="7" t="str">
        <f>IFERROR(VLOOKUP(J164,Transco!B:E,4,FALSE),"")</f>
        <v>=INDEX(Liste;$E$2;146)</v>
      </c>
      <c r="N164" s="7" t="str">
        <f>IFERROR(VLOOKUP(K164,Transco!B:E,4,FALSE),"")</f>
        <v>=INDEX(Liste;$E$2;147)</v>
      </c>
      <c r="O164" s="84" t="s">
        <v>2984</v>
      </c>
      <c r="P164" s="81">
        <f>INDEX(Liste[],$E$2,100)</f>
        <v>0</v>
      </c>
    </row>
    <row r="165" spans="2:16" x14ac:dyDescent="0.2">
      <c r="B165" s="118" t="s">
        <v>1600</v>
      </c>
      <c r="C165" s="119"/>
      <c r="D165" s="120" t="s">
        <v>1645</v>
      </c>
      <c r="E165" s="114">
        <f>INDEX(Liste[],$E$2,145)</f>
        <v>0</v>
      </c>
      <c r="F165" s="116"/>
      <c r="G165" s="116"/>
      <c r="I165" s="7" t="str">
        <f t="shared" si="13"/>
        <v>CK</v>
      </c>
      <c r="K165" s="7" t="str">
        <f>D165&amp;"(N1)"</f>
        <v>CK(N1)</v>
      </c>
      <c r="L165" s="163" t="str">
        <f>IFERROR(VLOOKUP(D165,Transco!B:E,4,FALSE),"")</f>
        <v>=INDEX(Liste;$E$2;145)</v>
      </c>
      <c r="M165" s="7" t="str">
        <f>IFERROR(VLOOKUP(J165,Transco!B:E,4,FALSE),"")</f>
        <v/>
      </c>
      <c r="N165" s="7" t="str">
        <f>IFERROR(VLOOKUP(K165,Transco!B:E,4,FALSE),"")</f>
        <v/>
      </c>
      <c r="O165" s="84" t="s">
        <v>2985</v>
      </c>
      <c r="P165" s="81">
        <f>INDEX(Liste[],$E$2,101)</f>
        <v>0</v>
      </c>
    </row>
    <row r="166" spans="2:16" x14ac:dyDescent="0.2">
      <c r="I166" s="7">
        <f t="shared" si="13"/>
        <v>0</v>
      </c>
      <c r="L166" s="163" t="str">
        <f>IFERROR(VLOOKUP(D166,Transco!B:E,4,FALSE),"")</f>
        <v/>
      </c>
      <c r="M166" s="7" t="str">
        <f>IFERROR(VLOOKUP(J166,Transco!B:E,4,FALSE),"")</f>
        <v/>
      </c>
      <c r="N166" s="7" t="str">
        <f>IFERROR(VLOOKUP(K166,Transco!B:E,4,FALSE),"")</f>
        <v/>
      </c>
      <c r="O166" s="84" t="s">
        <v>2986</v>
      </c>
      <c r="P166" s="81">
        <f>INDEX(Liste[],$E$2,103)</f>
        <v>0</v>
      </c>
    </row>
    <row r="167" spans="2:16" x14ac:dyDescent="0.2">
      <c r="B167" s="105" t="s">
        <v>1646</v>
      </c>
      <c r="C167" s="38"/>
      <c r="D167" s="103"/>
      <c r="E167" s="103"/>
      <c r="I167" s="7">
        <f t="shared" si="13"/>
        <v>0</v>
      </c>
      <c r="L167" s="163" t="str">
        <f>IFERROR(VLOOKUP(D167,Transco!B:E,4,FALSE),"")</f>
        <v/>
      </c>
      <c r="M167" s="7" t="str">
        <f>IFERROR(VLOOKUP(J167,Transco!B:E,4,FALSE),"")</f>
        <v/>
      </c>
      <c r="N167" s="7" t="str">
        <f>IFERROR(VLOOKUP(K167,Transco!B:E,4,FALSE),"")</f>
        <v/>
      </c>
      <c r="O167" s="84" t="s">
        <v>2987</v>
      </c>
      <c r="P167" s="81">
        <f>INDEX(Liste[],$E$2,104)</f>
        <v>0</v>
      </c>
    </row>
    <row r="168" spans="2:16" x14ac:dyDescent="0.2">
      <c r="B168" s="39" t="s">
        <v>1647</v>
      </c>
      <c r="C168" s="40"/>
      <c r="D168" s="89" t="s">
        <v>451</v>
      </c>
      <c r="E168" s="57">
        <f>INDEX(Liste[],$E$2,48)</f>
        <v>0</v>
      </c>
      <c r="F168" s="71">
        <f>INDEX(Liste[],$E$2,48)</f>
        <v>0</v>
      </c>
      <c r="G168" s="71">
        <f>INDEX(Liste[],$E$2,49)</f>
        <v>0</v>
      </c>
      <c r="I168" s="7" t="str">
        <f t="shared" si="13"/>
        <v>CL</v>
      </c>
      <c r="J168" s="7" t="str">
        <f>D168</f>
        <v>CL</v>
      </c>
      <c r="K168" s="7" t="str">
        <f>D168&amp;"(N1)"</f>
        <v>CL(N1)</v>
      </c>
      <c r="L168" s="163" t="str">
        <f>IFERROR(VLOOKUP(D168,Transco!B:E,4,FALSE),"")</f>
        <v>=INDEX(Liste;$E$2;48)</v>
      </c>
      <c r="M168" s="7" t="str">
        <f>IFERROR(VLOOKUP(J168,Transco!B:E,4,FALSE),"")</f>
        <v>=INDEX(Liste;$E$2;48)</v>
      </c>
      <c r="N168" s="7" t="str">
        <f>IFERROR(VLOOKUP(K168,Transco!B:E,4,FALSE),"")</f>
        <v>=INDEX(Liste;$E$2;49)</v>
      </c>
      <c r="O168" s="84" t="s">
        <v>2988</v>
      </c>
      <c r="P168" s="81">
        <f>INDEX(Liste[],$E$2,105)</f>
        <v>0</v>
      </c>
    </row>
    <row r="169" spans="2:16" x14ac:dyDescent="0.2">
      <c r="B169" s="39" t="s">
        <v>1648</v>
      </c>
      <c r="C169" s="40"/>
      <c r="D169" s="89" t="s">
        <v>529</v>
      </c>
      <c r="E169" s="57">
        <f>INDEX(Liste[],$E$2,130)</f>
        <v>0</v>
      </c>
      <c r="F169" s="71">
        <f>INDEX(Liste[],$E$2,130)</f>
        <v>0</v>
      </c>
      <c r="G169" s="71">
        <f>INDEX(Liste[],$E$2,131)</f>
        <v>0</v>
      </c>
      <c r="I169" s="7" t="str">
        <f t="shared" si="13"/>
        <v>CM</v>
      </c>
      <c r="J169" s="7" t="str">
        <f>D169</f>
        <v>CM</v>
      </c>
      <c r="K169" s="7" t="str">
        <f>D169&amp;"(N1)"</f>
        <v>CM(N1)</v>
      </c>
      <c r="L169" s="163" t="str">
        <f>IFERROR(VLOOKUP(D169,Transco!B:E,4,FALSE),"")</f>
        <v>=INDEX(Liste;$E$2;130)</v>
      </c>
      <c r="M169" s="7" t="str">
        <f>IFERROR(VLOOKUP(J169,Transco!B:E,4,FALSE),"")</f>
        <v>=INDEX(Liste;$E$2;130)</v>
      </c>
      <c r="N169" s="7" t="str">
        <f>IFERROR(VLOOKUP(K169,Transco!B:E,4,FALSE),"")</f>
        <v>=INDEX(Liste;$E$2;131)</v>
      </c>
      <c r="O169" s="84" t="s">
        <v>2989</v>
      </c>
      <c r="P169" s="81">
        <f>INDEX(Liste[],$E$2,106)</f>
        <v>0</v>
      </c>
    </row>
    <row r="170" spans="2:16" x14ac:dyDescent="0.2">
      <c r="B170" s="39" t="s">
        <v>1649</v>
      </c>
      <c r="C170" s="40"/>
      <c r="D170" s="89" t="s">
        <v>481</v>
      </c>
      <c r="E170" s="57">
        <f>INDEX(Liste[],$E$2,79)</f>
        <v>0</v>
      </c>
      <c r="F170" s="71">
        <f>INDEX(Liste[],$E$2,79)</f>
        <v>0</v>
      </c>
      <c r="G170" s="71">
        <f>INDEX(Liste[],$E$2,80)</f>
        <v>0</v>
      </c>
      <c r="I170" s="7" t="str">
        <f t="shared" si="13"/>
        <v>CN</v>
      </c>
      <c r="J170" s="7" t="str">
        <f>D170</f>
        <v>CN</v>
      </c>
      <c r="K170" s="7" t="str">
        <f>D170&amp;"(N1)"</f>
        <v>CN(N1)</v>
      </c>
      <c r="L170" s="163" t="str">
        <f>IFERROR(VLOOKUP(D170,Transco!B:E,4,FALSE),"")</f>
        <v>=INDEX(Liste;$E$2;79)</v>
      </c>
      <c r="M170" s="7" t="str">
        <f>IFERROR(VLOOKUP(J170,Transco!B:E,4,FALSE),"")</f>
        <v>=INDEX(Liste;$E$2;79)</v>
      </c>
      <c r="N170" s="7" t="str">
        <f>IFERROR(VLOOKUP(K170,Transco!B:E,4,FALSE),"")</f>
        <v>=INDEX(Liste;$E$2;80)</v>
      </c>
      <c r="O170" s="84" t="s">
        <v>2990</v>
      </c>
      <c r="P170" s="81">
        <f>INDEX(Liste[],$E$2,107)</f>
        <v>0</v>
      </c>
    </row>
    <row r="171" spans="2:16" x14ac:dyDescent="0.2">
      <c r="B171" s="38" t="s">
        <v>1597</v>
      </c>
      <c r="C171" s="38"/>
      <c r="D171" s="103"/>
      <c r="E171" s="103"/>
      <c r="I171" s="7">
        <f t="shared" si="13"/>
        <v>0</v>
      </c>
      <c r="L171" s="163" t="str">
        <f>IFERROR(VLOOKUP(D171,Transco!B:E,4,FALSE),"")</f>
        <v/>
      </c>
      <c r="M171" s="7" t="str">
        <f>IFERROR(VLOOKUP(J171,Transco!B:E,4,FALSE),"")</f>
        <v/>
      </c>
      <c r="N171" s="7" t="str">
        <f>IFERROR(VLOOKUP(K171,Transco!B:E,4,FALSE),"")</f>
        <v/>
      </c>
      <c r="O171" s="84" t="s">
        <v>2991</v>
      </c>
      <c r="P171" s="81">
        <f>INDEX(Liste[],$E$2,119)</f>
        <v>0</v>
      </c>
    </row>
    <row r="172" spans="2:16" x14ac:dyDescent="0.2">
      <c r="B172" s="121" t="s">
        <v>1806</v>
      </c>
      <c r="C172" s="122"/>
      <c r="D172" s="123" t="s">
        <v>548</v>
      </c>
      <c r="E172" s="124">
        <f>INDEX(Liste[],$E$2,152)</f>
        <v>0</v>
      </c>
      <c r="F172" s="124">
        <f>INDEX(Liste[],$E$2,150)</f>
        <v>67199000</v>
      </c>
      <c r="G172" s="124">
        <f>INDEX(Liste[],$E$2,151)</f>
        <v>66631000</v>
      </c>
      <c r="I172" s="7" t="str">
        <f t="shared" si="13"/>
        <v>CO</v>
      </c>
      <c r="J172" s="7" t="str">
        <f>D172&amp;"-"&amp;D173</f>
        <v>CO-1A</v>
      </c>
      <c r="K172" s="7" t="str">
        <f>D172&amp;"(N1)"</f>
        <v>CO(N1)</v>
      </c>
      <c r="L172" s="163" t="str">
        <f>IFERROR(VLOOKUP(D172,Transco!B:E,4,FALSE),"")</f>
        <v>=INDEX(Liste;$E$2;152)</v>
      </c>
      <c r="M172" s="7" t="str">
        <f>IFERROR(VLOOKUP(J172,Transco!B:E,4,FALSE),"")</f>
        <v>=INDEX(Liste;$E$2;150)</v>
      </c>
      <c r="N172" s="7" t="str">
        <f>IFERROR(VLOOKUP(K172,Transco!B:E,4,FALSE),"")</f>
        <v>=INDEX(Liste;$E$2;151)</v>
      </c>
      <c r="O172" s="84" t="s">
        <v>2992</v>
      </c>
      <c r="P172" s="81">
        <f>INDEX(Liste[],$E$2,111)</f>
        <v>0</v>
      </c>
    </row>
    <row r="173" spans="2:16" x14ac:dyDescent="0.2">
      <c r="B173" s="121" t="s">
        <v>1600</v>
      </c>
      <c r="C173" s="122"/>
      <c r="D173" s="123" t="s">
        <v>545</v>
      </c>
      <c r="E173" s="124">
        <f>INDEX(Liste[],$E$2,149)</f>
        <v>0</v>
      </c>
      <c r="F173" s="124"/>
      <c r="G173" s="124"/>
      <c r="I173" s="7" t="str">
        <f t="shared" si="13"/>
        <v>1A</v>
      </c>
      <c r="K173" s="7" t="str">
        <f>D173&amp;"(N1)"</f>
        <v>1A(N1)</v>
      </c>
      <c r="L173" s="163" t="str">
        <f>IFERROR(VLOOKUP(D173,Transco!B:E,4,FALSE),"")</f>
        <v>=INDEX(Liste;$E$2;149)</v>
      </c>
      <c r="M173" s="7" t="str">
        <f>IFERROR(VLOOKUP(J173,Transco!B:E,4,FALSE),"")</f>
        <v/>
      </c>
      <c r="N173" s="7" t="str">
        <f>IFERROR(VLOOKUP(K173,Transco!B:E,4,FALSE),"")</f>
        <v/>
      </c>
      <c r="O173" s="84" t="s">
        <v>2993</v>
      </c>
      <c r="P173" s="81">
        <f>INDEX(Liste[],$E$2,112)</f>
        <v>0</v>
      </c>
    </row>
    <row r="174" spans="2:16" x14ac:dyDescent="0.2">
      <c r="B174" s="39" t="s">
        <v>1650</v>
      </c>
      <c r="C174" s="40"/>
      <c r="D174" s="41" t="s">
        <v>407</v>
      </c>
      <c r="E174" s="57">
        <f>INDEX(Liste[],$E$2,3)</f>
        <v>0</v>
      </c>
      <c r="F174" s="71"/>
      <c r="G174" s="71"/>
      <c r="I174" s="7" t="str">
        <f t="shared" si="13"/>
        <v>CP</v>
      </c>
      <c r="K174" s="7" t="str">
        <f>D174&amp;"(N1)"</f>
        <v>CP(N1)</v>
      </c>
      <c r="L174" s="163" t="str">
        <f>IFERROR(VLOOKUP(D174,Transco!B:E,4,FALSE),"")</f>
        <v>=INDEX(Liste;$E$2;3)</v>
      </c>
      <c r="M174" s="7" t="str">
        <f>IFERROR(VLOOKUP(J174,Transco!B:E,4,FALSE),"")</f>
        <v/>
      </c>
      <c r="N174" s="7" t="str">
        <f>IFERROR(VLOOKUP(K174,Transco!B:E,4,FALSE),"")</f>
        <v/>
      </c>
      <c r="O174" s="84" t="s">
        <v>174</v>
      </c>
      <c r="P174" s="81">
        <f>INDEX(Liste[],$E$2,114)</f>
        <v>0</v>
      </c>
    </row>
    <row r="175" spans="2:16" x14ac:dyDescent="0.2">
      <c r="B175" s="39" t="s">
        <v>1651</v>
      </c>
      <c r="C175" s="40"/>
      <c r="D175" s="41" t="s">
        <v>408</v>
      </c>
      <c r="E175" s="57">
        <f>INDEX(Liste[],$E$2,4)</f>
        <v>0</v>
      </c>
      <c r="F175" s="71"/>
      <c r="G175" s="71"/>
      <c r="I175" s="7" t="str">
        <f t="shared" si="13"/>
        <v>CR</v>
      </c>
      <c r="K175" s="7" t="str">
        <f>D175&amp;"(N1)"</f>
        <v>CR(N1)</v>
      </c>
      <c r="L175" s="163" t="str">
        <f>IFERROR(VLOOKUP(D175,Transco!B:E,4,FALSE),"")</f>
        <v>=INDEX(Liste;$E$2;4)</v>
      </c>
      <c r="M175" s="7" t="str">
        <f>IFERROR(VLOOKUP(J175,Transco!B:E,4,FALSE),"")</f>
        <v/>
      </c>
      <c r="N175" s="7" t="str">
        <f>IFERROR(VLOOKUP(K175,Transco!B:E,4,FALSE),"")</f>
        <v/>
      </c>
      <c r="O175" s="84" t="s">
        <v>2994</v>
      </c>
      <c r="P175" s="81">
        <f>INDEX(Liste[],$E$2,115)</f>
        <v>0</v>
      </c>
    </row>
    <row r="176" spans="2:16" x14ac:dyDescent="0.2">
      <c r="B176" s="38" t="s">
        <v>1597</v>
      </c>
      <c r="C176" s="38"/>
      <c r="D176" s="103"/>
      <c r="E176" s="103"/>
      <c r="L176" s="163" t="str">
        <f>IFERROR(VLOOKUP(D176,Transco!B:E,4,FALSE),"")</f>
        <v/>
      </c>
      <c r="M176" s="7" t="str">
        <f>IFERROR(VLOOKUP(J176,Transco!B:E,4,FALSE),"")</f>
        <v/>
      </c>
      <c r="N176" s="7" t="str">
        <f>IFERROR(VLOOKUP(K176,Transco!B:E,4,FALSE),"")</f>
        <v/>
      </c>
      <c r="O176" s="84" t="s">
        <v>2995</v>
      </c>
      <c r="P176" s="81">
        <f>INDEX(Liste[],$E$2,119)</f>
        <v>0</v>
      </c>
    </row>
    <row r="177" spans="2:16" ht="18.75" x14ac:dyDescent="0.2">
      <c r="B177" s="104" t="s">
        <v>1813</v>
      </c>
      <c r="C177" s="105"/>
      <c r="D177" s="106"/>
      <c r="E177" s="106"/>
      <c r="F177" s="86"/>
      <c r="G177" s="86"/>
      <c r="L177" s="163" t="str">
        <f>IFERROR(VLOOKUP(D177,Transco!B:E,4,FALSE),"")</f>
        <v/>
      </c>
      <c r="M177" s="7" t="str">
        <f>IFERROR(VLOOKUP(J177,Transco!B:E,4,FALSE),"")</f>
        <v/>
      </c>
      <c r="N177" s="7" t="str">
        <f>IFERROR(VLOOKUP(K177,Transco!B:E,4,FALSE),"")</f>
        <v/>
      </c>
      <c r="O177" s="84" t="s">
        <v>2996</v>
      </c>
      <c r="P177" s="81">
        <f>INDEX(Liste[],$E$2,118)</f>
        <v>0</v>
      </c>
    </row>
    <row r="178" spans="2:16" x14ac:dyDescent="0.2">
      <c r="B178" s="38" t="s">
        <v>1597</v>
      </c>
      <c r="C178" s="38"/>
      <c r="D178" s="103"/>
      <c r="E178" s="103"/>
      <c r="L178" s="163" t="str">
        <f>IFERROR(VLOOKUP(D178,Transco!B:E,4,FALSE),"")</f>
        <v/>
      </c>
      <c r="M178" s="7" t="str">
        <f>IFERROR(VLOOKUP(J178,Transco!B:E,4,FALSE),"")</f>
        <v/>
      </c>
      <c r="N178" s="7" t="str">
        <f>IFERROR(VLOOKUP(K178,Transco!B:E,4,FALSE),"")</f>
        <v/>
      </c>
      <c r="O178" s="84" t="s">
        <v>2997</v>
      </c>
      <c r="P178" s="81">
        <f>INDEX(Liste[],$E$2,119)</f>
        <v>0</v>
      </c>
    </row>
    <row r="179" spans="2:16" x14ac:dyDescent="0.2">
      <c r="B179" s="105" t="s">
        <v>2103</v>
      </c>
      <c r="C179" s="38"/>
      <c r="D179" s="103"/>
      <c r="E179" s="103"/>
      <c r="L179" s="163" t="str">
        <f>IFERROR(VLOOKUP(D179,Transco!B:E,4,FALSE),"")</f>
        <v/>
      </c>
      <c r="M179" s="7" t="str">
        <f>IFERROR(VLOOKUP(J179,Transco!B:E,4,FALSE),"")</f>
        <v/>
      </c>
      <c r="N179" s="7" t="str">
        <f>IFERROR(VLOOKUP(K179,Transco!B:E,4,FALSE),"")</f>
        <v/>
      </c>
      <c r="O179" s="84" t="s">
        <v>2998</v>
      </c>
      <c r="P179" s="81"/>
    </row>
    <row r="180" spans="2:16" x14ac:dyDescent="0.2">
      <c r="B180" s="38"/>
      <c r="C180" s="38"/>
      <c r="D180" s="103"/>
      <c r="E180" s="103"/>
      <c r="L180" s="163" t="str">
        <f>IFERROR(VLOOKUP(D180,Transco!B:E,4,FALSE),"")</f>
        <v/>
      </c>
      <c r="M180" s="7" t="str">
        <f>IFERROR(VLOOKUP(J180,Transco!B:E,4,FALSE),"")</f>
        <v/>
      </c>
      <c r="N180" s="7" t="str">
        <f>IFERROR(VLOOKUP(K180,Transco!B:E,4,FALSE),"")</f>
        <v/>
      </c>
      <c r="O180" s="84" t="s">
        <v>2999</v>
      </c>
      <c r="P180" s="81"/>
    </row>
    <row r="181" spans="2:16" x14ac:dyDescent="0.2">
      <c r="B181" s="105" t="s">
        <v>1652</v>
      </c>
      <c r="C181" s="105"/>
      <c r="D181" s="106"/>
      <c r="E181" s="106"/>
      <c r="G181" s="70">
        <f>INDEX(Liste[],$E$2,302)</f>
        <v>0</v>
      </c>
      <c r="K181" s="7" t="str">
        <f t="shared" ref="K181:K194" si="15">D181&amp;"(N1)"</f>
        <v>(N1)</v>
      </c>
      <c r="L181" s="163" t="str">
        <f>IFERROR(VLOOKUP(D181,Transco!B:E,4,FALSE),"")</f>
        <v/>
      </c>
      <c r="M181" s="7" t="str">
        <f>IFERROR(VLOOKUP(J181,Transco!B:E,4,FALSE),"")</f>
        <v/>
      </c>
      <c r="N181" s="7" t="str">
        <f>IFERROR(VLOOKUP(K181,Transco!B:E,4,FALSE),"")</f>
        <v>=INDEX(Liste;$E$2;302)</v>
      </c>
      <c r="O181" s="84" t="s">
        <v>3000</v>
      </c>
      <c r="P181" s="81">
        <f>INDEX(Liste[],$E$2,120)</f>
        <v>0</v>
      </c>
    </row>
    <row r="182" spans="2:16" x14ac:dyDescent="0.2">
      <c r="B182" s="39" t="s">
        <v>1653</v>
      </c>
      <c r="C182" s="40"/>
      <c r="D182" s="41" t="s">
        <v>705</v>
      </c>
      <c r="E182" s="71">
        <f>INDEX(Liste[],$E$2,313)</f>
        <v>25299000</v>
      </c>
      <c r="F182" s="71">
        <f>INDEX(Liste[],$E$2,313)</f>
        <v>25299000</v>
      </c>
      <c r="G182" s="71">
        <f>INDEX(Liste[],$E$2,314)</f>
        <v>24907000</v>
      </c>
      <c r="I182" s="7" t="str">
        <f t="shared" si="13"/>
        <v>DA</v>
      </c>
      <c r="J182" s="7" t="str">
        <f>D182</f>
        <v>DA</v>
      </c>
      <c r="K182" s="7" t="str">
        <f t="shared" si="15"/>
        <v>DA(N1)</v>
      </c>
      <c r="L182" s="163" t="str">
        <f>IFERROR(VLOOKUP(D182,Transco!B:E,4,FALSE),"")</f>
        <v>=INDEX(Liste;$E$2;313)</v>
      </c>
      <c r="M182" s="7" t="str">
        <f>IFERROR(VLOOKUP(J182,Transco!B:E,4,FALSE),"")</f>
        <v>=INDEX(Liste;$E$2;313)</v>
      </c>
      <c r="N182" s="7" t="str">
        <f>IFERROR(VLOOKUP(K182,Transco!B:E,4,FALSE),"")</f>
        <v>=INDEX(Liste;$E$2;314)</v>
      </c>
      <c r="O182" s="84" t="s">
        <v>182</v>
      </c>
      <c r="P182" s="81">
        <f>INDEX(Liste[],$E$2,121)</f>
        <v>0</v>
      </c>
    </row>
    <row r="183" spans="2:16" x14ac:dyDescent="0.2">
      <c r="B183" s="39" t="s">
        <v>1654</v>
      </c>
      <c r="C183" s="40"/>
      <c r="D183" s="41" t="s">
        <v>735</v>
      </c>
      <c r="E183" s="71">
        <f>INDEX(Liste[],$E$2,347)</f>
        <v>289000</v>
      </c>
      <c r="F183" s="71">
        <f>INDEX(Liste[],$E$2,347)</f>
        <v>289000</v>
      </c>
      <c r="G183" s="71">
        <f>INDEX(Liste[],$E$2,348)</f>
        <v>289000</v>
      </c>
      <c r="I183" s="7" t="str">
        <f t="shared" si="13"/>
        <v>DB</v>
      </c>
      <c r="J183" s="7" t="str">
        <f t="shared" ref="J183:J246" si="16">D183</f>
        <v>DB</v>
      </c>
      <c r="K183" s="7" t="str">
        <f t="shared" si="15"/>
        <v>DB(N1)</v>
      </c>
      <c r="L183" s="163" t="str">
        <f>IFERROR(VLOOKUP(D183,Transco!B:E,4,FALSE),"")</f>
        <v>=INDEX(Liste;$E$2;347)</v>
      </c>
      <c r="M183" s="7" t="str">
        <f>IFERROR(VLOOKUP(J183,Transco!B:E,4,FALSE),"")</f>
        <v>=INDEX(Liste;$E$2;347)</v>
      </c>
      <c r="N183" s="7" t="str">
        <f>IFERROR(VLOOKUP(K183,Transco!B:E,4,FALSE),"")</f>
        <v>=INDEX(Liste;$E$2;348)</v>
      </c>
      <c r="O183" s="84" t="s">
        <v>3001</v>
      </c>
      <c r="P183" s="81">
        <f>INDEX(Liste[],$E$2,122)</f>
        <v>0</v>
      </c>
    </row>
    <row r="184" spans="2:16" x14ac:dyDescent="0.2">
      <c r="B184" s="39" t="s">
        <v>1655</v>
      </c>
      <c r="C184" s="40"/>
      <c r="D184" s="41" t="s">
        <v>691</v>
      </c>
      <c r="E184" s="71">
        <f>INDEX(Liste[],$E$2,299)</f>
        <v>0</v>
      </c>
      <c r="F184" s="71">
        <f>INDEX(Liste[],$E$2,299)</f>
        <v>0</v>
      </c>
      <c r="G184" s="71">
        <f>INDEX(Liste[],$E$2,300)</f>
        <v>0</v>
      </c>
      <c r="I184" s="7" t="str">
        <f t="shared" si="13"/>
        <v>EK</v>
      </c>
      <c r="J184" s="7" t="str">
        <f t="shared" si="16"/>
        <v>EK</v>
      </c>
      <c r="K184" s="7" t="str">
        <f t="shared" si="15"/>
        <v>EK(N1)</v>
      </c>
      <c r="L184" s="163" t="str">
        <f>IFERROR(VLOOKUP(D184,Transco!B:E,4,FALSE),"")</f>
        <v>=INDEX(Liste;$E$2;299)</v>
      </c>
      <c r="M184" s="7" t="str">
        <f>IFERROR(VLOOKUP(J184,Transco!B:E,4,FALSE),"")</f>
        <v>=INDEX(Liste;$E$2;299)</v>
      </c>
      <c r="N184" s="7" t="str">
        <f>IFERROR(VLOOKUP(K184,Transco!B:E,4,FALSE),"")</f>
        <v>=INDEX(Liste;$E$2;300)</v>
      </c>
      <c r="O184" s="84" t="s">
        <v>3002</v>
      </c>
      <c r="P184" s="81">
        <f>INDEX(Liste[],$E$2,123)</f>
        <v>0</v>
      </c>
    </row>
    <row r="185" spans="2:16" x14ac:dyDescent="0.2">
      <c r="B185" s="39" t="s">
        <v>1656</v>
      </c>
      <c r="C185" s="40"/>
      <c r="D185" s="41" t="s">
        <v>727</v>
      </c>
      <c r="E185" s="71">
        <f>INDEX(Liste[],$E$2,335)</f>
        <v>0</v>
      </c>
      <c r="F185" s="71">
        <f>INDEX(Liste[],$E$2,335)</f>
        <v>0</v>
      </c>
      <c r="G185" s="71">
        <f>INDEX(Liste[],$E$2,336)</f>
        <v>0</v>
      </c>
      <c r="I185" s="7" t="str">
        <f t="shared" si="13"/>
        <v>DC</v>
      </c>
      <c r="J185" s="7" t="str">
        <f t="shared" si="16"/>
        <v>DC</v>
      </c>
      <c r="K185" s="7" t="str">
        <f t="shared" si="15"/>
        <v>DC(N1)</v>
      </c>
      <c r="L185" s="163" t="str">
        <f>IFERROR(VLOOKUP(D185,Transco!B:E,4,FALSE),"")</f>
        <v>=INDEX(Liste;$E$2;335)</v>
      </c>
      <c r="M185" s="7" t="str">
        <f>IFERROR(VLOOKUP(J185,Transco!B:E,4,FALSE),"")</f>
        <v>=INDEX(Liste;$E$2;335)</v>
      </c>
      <c r="N185" s="7" t="str">
        <f>IFERROR(VLOOKUP(K185,Transco!B:E,4,FALSE),"")</f>
        <v>=INDEX(Liste;$E$2;336)</v>
      </c>
      <c r="O185" s="84" t="s">
        <v>3003</v>
      </c>
      <c r="P185" s="81">
        <f>INDEX(Liste[],$E$2,124)</f>
        <v>0</v>
      </c>
    </row>
    <row r="186" spans="2:16" x14ac:dyDescent="0.2">
      <c r="B186" s="39" t="s">
        <v>1657</v>
      </c>
      <c r="C186" s="40"/>
      <c r="D186" s="41" t="s">
        <v>749</v>
      </c>
      <c r="E186" s="71">
        <f>INDEX(Liste[],$E$2,361)</f>
        <v>0</v>
      </c>
      <c r="F186" s="71">
        <f>INDEX(Liste[],$E$2,361)</f>
        <v>0</v>
      </c>
      <c r="G186" s="71">
        <f>INDEX(Liste[],$E$2,362)</f>
        <v>0</v>
      </c>
      <c r="I186" s="7" t="str">
        <f t="shared" si="13"/>
        <v>DD</v>
      </c>
      <c r="J186" s="7" t="str">
        <f t="shared" si="16"/>
        <v>DD</v>
      </c>
      <c r="K186" s="7" t="str">
        <f t="shared" si="15"/>
        <v>DD(N1)</v>
      </c>
      <c r="L186" s="163" t="str">
        <f>IFERROR(VLOOKUP(D186,Transco!B:E,4,FALSE),"")</f>
        <v>=INDEX(Liste;$E$2;361)</v>
      </c>
      <c r="M186" s="7" t="str">
        <f>IFERROR(VLOOKUP(J186,Transco!B:E,4,FALSE),"")</f>
        <v>=INDEX(Liste;$E$2;361)</v>
      </c>
      <c r="N186" s="7" t="str">
        <f>IFERROR(VLOOKUP(K186,Transco!B:E,4,FALSE),"")</f>
        <v>=INDEX(Liste;$E$2;362)</v>
      </c>
      <c r="O186" s="84" t="s">
        <v>3004</v>
      </c>
      <c r="P186" s="81">
        <f>INDEX(Liste[],$E$2,125)</f>
        <v>0</v>
      </c>
    </row>
    <row r="187" spans="2:16" x14ac:dyDescent="0.2">
      <c r="B187" s="39" t="s">
        <v>1658</v>
      </c>
      <c r="C187" s="40"/>
      <c r="D187" s="41" t="s">
        <v>753</v>
      </c>
      <c r="E187" s="71">
        <f>INDEX(Liste[],$E$2,365)</f>
        <v>0</v>
      </c>
      <c r="F187" s="71">
        <f>INDEX(Liste[],$E$2,365)</f>
        <v>0</v>
      </c>
      <c r="G187" s="71">
        <f>INDEX(Liste[],$E$2,366)</f>
        <v>0</v>
      </c>
      <c r="I187" s="7" t="str">
        <f t="shared" si="13"/>
        <v>DE</v>
      </c>
      <c r="J187" s="7" t="str">
        <f t="shared" si="16"/>
        <v>DE</v>
      </c>
      <c r="K187" s="7" t="str">
        <f t="shared" si="15"/>
        <v>DE(N1)</v>
      </c>
      <c r="L187" s="163" t="str">
        <f>IFERROR(VLOOKUP(D187,Transco!B:E,4,FALSE),"")</f>
        <v>=INDEX(Liste;$E$2;365)</v>
      </c>
      <c r="M187" s="7" t="str">
        <f>IFERROR(VLOOKUP(J187,Transco!B:E,4,FALSE),"")</f>
        <v>=INDEX(Liste;$E$2;365)</v>
      </c>
      <c r="N187" s="7" t="str">
        <f>IFERROR(VLOOKUP(K187,Transco!B:E,4,FALSE),"")</f>
        <v>=INDEX(Liste;$E$2;366)</v>
      </c>
      <c r="O187" s="84" t="s">
        <v>3005</v>
      </c>
      <c r="P187" s="81">
        <f>INDEX(Liste[],$E$2,126)</f>
        <v>0</v>
      </c>
    </row>
    <row r="188" spans="2:16" x14ac:dyDescent="0.2">
      <c r="B188" s="39" t="s">
        <v>1659</v>
      </c>
      <c r="C188" s="40"/>
      <c r="D188" s="41" t="s">
        <v>751</v>
      </c>
      <c r="E188" s="71">
        <f>INDEX(Liste[],$E$2,363)</f>
        <v>0</v>
      </c>
      <c r="F188" s="71">
        <f>INDEX(Liste[],$E$2,363)</f>
        <v>0</v>
      </c>
      <c r="G188" s="71">
        <f>INDEX(Liste[],$E$2,364)</f>
        <v>0</v>
      </c>
      <c r="I188" s="7" t="str">
        <f t="shared" si="13"/>
        <v>DF</v>
      </c>
      <c r="J188" s="7" t="str">
        <f t="shared" si="16"/>
        <v>DF</v>
      </c>
      <c r="K188" s="7" t="str">
        <f t="shared" si="15"/>
        <v>DF(N1)</v>
      </c>
      <c r="L188" s="163" t="str">
        <f>IFERROR(VLOOKUP(D188,Transco!B:E,4,FALSE),"")</f>
        <v>=INDEX(Liste;$E$2;363)</v>
      </c>
      <c r="M188" s="7" t="str">
        <f>IFERROR(VLOOKUP(J188,Transco!B:E,4,FALSE),"")</f>
        <v>=INDEX(Liste;$E$2;363)</v>
      </c>
      <c r="N188" s="7" t="str">
        <f>IFERROR(VLOOKUP(K188,Transco!B:E,4,FALSE),"")</f>
        <v>=INDEX(Liste;$E$2;364)</v>
      </c>
      <c r="O188" s="84" t="s">
        <v>3006</v>
      </c>
      <c r="P188" s="81">
        <f>INDEX(Liste[],$E$2,127)</f>
        <v>0</v>
      </c>
    </row>
    <row r="189" spans="2:16" x14ac:dyDescent="0.2">
      <c r="B189" s="39" t="s">
        <v>1660</v>
      </c>
      <c r="C189" s="40"/>
      <c r="D189" s="41" t="s">
        <v>699</v>
      </c>
      <c r="E189" s="71">
        <f>INDEX(Liste[],$E$2,307)</f>
        <v>0</v>
      </c>
      <c r="F189" s="71">
        <f>INDEX(Liste[],$E$2,307)</f>
        <v>0</v>
      </c>
      <c r="G189" s="71">
        <f>INDEX(Liste[],$E$2,308)</f>
        <v>0</v>
      </c>
      <c r="I189" s="7" t="str">
        <f t="shared" si="13"/>
        <v>DG</v>
      </c>
      <c r="J189" s="7" t="str">
        <f t="shared" si="16"/>
        <v>DG</v>
      </c>
      <c r="K189" s="7" t="str">
        <f t="shared" si="15"/>
        <v>DG(N1)</v>
      </c>
      <c r="L189" s="163" t="str">
        <f>IFERROR(VLOOKUP(D189,Transco!B:E,4,FALSE),"")</f>
        <v>=INDEX(Liste;$E$2;307)</v>
      </c>
      <c r="M189" s="7" t="str">
        <f>IFERROR(VLOOKUP(J189,Transco!B:E,4,FALSE),"")</f>
        <v>=INDEX(Liste;$E$2;307)</v>
      </c>
      <c r="N189" s="7" t="str">
        <f>IFERROR(VLOOKUP(K189,Transco!B:E,4,FALSE),"")</f>
        <v>=INDEX(Liste;$E$2;308)</v>
      </c>
      <c r="O189" s="84" t="s">
        <v>3007</v>
      </c>
      <c r="P189" s="81">
        <f>INDEX(Liste[],$E$2,128)</f>
        <v>0</v>
      </c>
    </row>
    <row r="190" spans="2:16" x14ac:dyDescent="0.2">
      <c r="B190" s="39" t="s">
        <v>1661</v>
      </c>
      <c r="C190" s="40"/>
      <c r="D190" s="41" t="s">
        <v>747</v>
      </c>
      <c r="E190" s="71">
        <f>INDEX(Liste[],$E$2,359)</f>
        <v>0</v>
      </c>
      <c r="F190" s="71">
        <f>INDEX(Liste[],$E$2,359)</f>
        <v>0</v>
      </c>
      <c r="G190" s="71">
        <f>INDEX(Liste[],$E$2,360)</f>
        <v>0</v>
      </c>
      <c r="I190" s="7" t="str">
        <f t="shared" si="13"/>
        <v>DH</v>
      </c>
      <c r="J190" s="7" t="str">
        <f t="shared" si="16"/>
        <v>DH</v>
      </c>
      <c r="K190" s="7" t="str">
        <f t="shared" si="15"/>
        <v>DH(N1)</v>
      </c>
      <c r="L190" s="163" t="str">
        <f>IFERROR(VLOOKUP(D190,Transco!B:E,4,FALSE),"")</f>
        <v>=INDEX(Liste;$E$2;359)</v>
      </c>
      <c r="M190" s="7" t="str">
        <f>IFERROR(VLOOKUP(J190,Transco!B:E,4,FALSE),"")</f>
        <v>=INDEX(Liste;$E$2;359)</v>
      </c>
      <c r="N190" s="7" t="str">
        <f>IFERROR(VLOOKUP(K190,Transco!B:E,4,FALSE),"")</f>
        <v>=INDEX(Liste;$E$2;360)</v>
      </c>
      <c r="O190" s="84" t="s">
        <v>3008</v>
      </c>
      <c r="P190" s="81">
        <f>INDEX(Liste[],$E$2,129)</f>
        <v>0</v>
      </c>
    </row>
    <row r="191" spans="2:16" x14ac:dyDescent="0.2">
      <c r="B191" s="39" t="s">
        <v>1662</v>
      </c>
      <c r="C191" s="40"/>
      <c r="D191" s="41" t="s">
        <v>725</v>
      </c>
      <c r="E191" s="71">
        <f>INDEX(Liste[],$E$2,333)</f>
        <v>0</v>
      </c>
      <c r="F191" s="71">
        <f>INDEX(Liste[],$E$2,333)</f>
        <v>0</v>
      </c>
      <c r="G191" s="71">
        <f>INDEX(Liste[],$E$2,334)</f>
        <v>0</v>
      </c>
      <c r="I191" s="7" t="str">
        <f t="shared" si="13"/>
        <v>CO1P</v>
      </c>
      <c r="J191" s="7" t="str">
        <f t="shared" si="16"/>
        <v>CO1P</v>
      </c>
      <c r="K191" s="7" t="str">
        <f t="shared" si="15"/>
        <v>CO1P(N1)</v>
      </c>
      <c r="L191" s="163" t="str">
        <f>IFERROR(VLOOKUP(D191,Transco!B:E,4,FALSE),"")</f>
        <v>=INDEX(Liste;$E$2;333)</v>
      </c>
      <c r="M191" s="7" t="str">
        <f>IFERROR(VLOOKUP(J191,Transco!B:E,4,FALSE),"")</f>
        <v>=INDEX(Liste;$E$2;333)</v>
      </c>
      <c r="N191" s="7" t="str">
        <f>IFERROR(VLOOKUP(K191,Transco!B:E,4,FALSE),"")</f>
        <v>=INDEX(Liste;$E$2;334)</v>
      </c>
      <c r="O191" s="84" t="s">
        <v>3009</v>
      </c>
      <c r="P191" s="81">
        <f>INDEX(Liste[],$E$2,130)</f>
        <v>0</v>
      </c>
    </row>
    <row r="192" spans="2:16" x14ac:dyDescent="0.2">
      <c r="B192" s="125" t="s">
        <v>1663</v>
      </c>
      <c r="C192" s="40"/>
      <c r="D192" s="41" t="s">
        <v>755</v>
      </c>
      <c r="E192" s="71">
        <f>INDEX(Liste[],$E$2,367)</f>
        <v>4778000</v>
      </c>
      <c r="F192" s="71">
        <f>INDEX(Liste[],$E$2,367)</f>
        <v>4778000</v>
      </c>
      <c r="G192" s="71">
        <f>INDEX(Liste[],$E$2,368)</f>
        <v>3671000</v>
      </c>
      <c r="I192" s="7" t="str">
        <f t="shared" si="13"/>
        <v>CO2P</v>
      </c>
      <c r="J192" s="7" t="str">
        <f t="shared" si="16"/>
        <v>CO2P</v>
      </c>
      <c r="K192" s="7" t="str">
        <f t="shared" si="15"/>
        <v>CO2P(N1)</v>
      </c>
      <c r="L192" s="163" t="str">
        <f>IFERROR(VLOOKUP(D192,Transco!B:E,4,FALSE),"")</f>
        <v>=INDEX(Liste;$E$2;367)</v>
      </c>
      <c r="M192" s="7" t="str">
        <f>IFERROR(VLOOKUP(J192,Transco!B:E,4,FALSE),"")</f>
        <v>=INDEX(Liste;$E$2;367)</v>
      </c>
      <c r="N192" s="7" t="str">
        <f>IFERROR(VLOOKUP(K192,Transco!B:E,4,FALSE),"")</f>
        <v>=INDEX(Liste;$E$2;368)</v>
      </c>
      <c r="O192" s="84" t="s">
        <v>3010</v>
      </c>
      <c r="P192" s="81">
        <f>INDEX(Liste[],$E$2,131)</f>
        <v>0</v>
      </c>
    </row>
    <row r="193" spans="2:16" x14ac:dyDescent="0.2">
      <c r="B193" s="39" t="s">
        <v>1664</v>
      </c>
      <c r="C193" s="40"/>
      <c r="D193" s="41" t="s">
        <v>659</v>
      </c>
      <c r="E193" s="71">
        <f>INDEX(Liste[],$E$2,369)</f>
        <v>0</v>
      </c>
      <c r="F193" s="71">
        <f>INDEX(Liste[],$E$2,369)</f>
        <v>0</v>
      </c>
      <c r="G193" s="71">
        <f>INDEX(Liste[],$E$2,370)</f>
        <v>0</v>
      </c>
      <c r="I193" s="7" t="str">
        <f t="shared" si="13"/>
        <v>DJ</v>
      </c>
      <c r="J193" s="7" t="str">
        <f t="shared" si="16"/>
        <v>DJ</v>
      </c>
      <c r="K193" s="7" t="str">
        <f t="shared" si="15"/>
        <v>DJ(N1)</v>
      </c>
      <c r="L193" s="163" t="str">
        <f>IFERROR(VLOOKUP(D193,Transco!B:E,4,FALSE),"")</f>
        <v>=INDEX(Liste;$E$2;369)</v>
      </c>
      <c r="M193" s="7" t="str">
        <f>IFERROR(VLOOKUP(J193,Transco!B:E,4,FALSE),"")</f>
        <v>=INDEX(Liste;$E$2;369)</v>
      </c>
      <c r="N193" s="7" t="str">
        <f>IFERROR(VLOOKUP(K193,Transco!B:E,4,FALSE),"")</f>
        <v>=INDEX(Liste;$E$2;370)</v>
      </c>
      <c r="O193" s="84" t="s">
        <v>3011</v>
      </c>
      <c r="P193" s="81">
        <f>INDEX(Liste[],$E$2,132)</f>
        <v>0</v>
      </c>
    </row>
    <row r="194" spans="2:16" x14ac:dyDescent="0.2">
      <c r="B194" s="39" t="s">
        <v>1665</v>
      </c>
      <c r="C194" s="40"/>
      <c r="D194" s="41" t="s">
        <v>745</v>
      </c>
      <c r="E194" s="71">
        <f>INDEX(Liste[],$E$2,357)</f>
        <v>0</v>
      </c>
      <c r="F194" s="71">
        <f>INDEX(Liste[],$E$2,357)</f>
        <v>0</v>
      </c>
      <c r="G194" s="71">
        <f>INDEX(Liste[],$E$2,358)</f>
        <v>0</v>
      </c>
      <c r="I194" s="7" t="str">
        <f t="shared" si="13"/>
        <v>DK</v>
      </c>
      <c r="J194" s="7" t="str">
        <f t="shared" si="16"/>
        <v>DK</v>
      </c>
      <c r="K194" s="7" t="str">
        <f t="shared" si="15"/>
        <v>DK(N1)</v>
      </c>
      <c r="L194" s="163" t="str">
        <f>IFERROR(VLOOKUP(D194,Transco!B:E,4,FALSE),"")</f>
        <v>=INDEX(Liste;$E$2;357)</v>
      </c>
      <c r="M194" s="7" t="str">
        <f>IFERROR(VLOOKUP(J194,Transco!B:E,4,FALSE),"")</f>
        <v>=INDEX(Liste;$E$2;357)</v>
      </c>
      <c r="N194" s="7" t="str">
        <f>IFERROR(VLOOKUP(K194,Transco!B:E,4,FALSE),"")</f>
        <v>=INDEX(Liste;$E$2;358)</v>
      </c>
      <c r="O194" s="84" t="s">
        <v>3012</v>
      </c>
      <c r="P194" s="81">
        <f>INDEX(Liste[],$E$2,133)</f>
        <v>0</v>
      </c>
    </row>
    <row r="195" spans="2:16" x14ac:dyDescent="0.2">
      <c r="I195" s="7">
        <f t="shared" si="13"/>
        <v>0</v>
      </c>
      <c r="J195" s="7">
        <f t="shared" si="16"/>
        <v>0</v>
      </c>
      <c r="L195" s="163" t="str">
        <f>IFERROR(VLOOKUP(D195,Transco!B:E,4,FALSE),"")</f>
        <v/>
      </c>
      <c r="M195" s="7" t="str">
        <f>IFERROR(VLOOKUP(J195,Transco!B:E,4,FALSE),"")</f>
        <v/>
      </c>
      <c r="N195" s="7" t="str">
        <f>IFERROR(VLOOKUP(K195,Transco!B:E,4,FALSE),"")</f>
        <v/>
      </c>
      <c r="O195" s="84" t="s">
        <v>3013</v>
      </c>
      <c r="P195" s="81">
        <f>INDEX(Liste[],$E$2,134)</f>
        <v>0</v>
      </c>
    </row>
    <row r="196" spans="2:16" x14ac:dyDescent="0.2">
      <c r="B196" s="111" t="s">
        <v>1666</v>
      </c>
      <c r="C196" s="111"/>
      <c r="D196" s="113" t="s">
        <v>539</v>
      </c>
      <c r="E196" s="113">
        <f>INDEX(Liste[],$E$2,371)</f>
        <v>32088000</v>
      </c>
      <c r="F196" s="126">
        <f>INDEX(Liste[],$E$2,371)</f>
        <v>32088000</v>
      </c>
      <c r="G196" s="126">
        <f>INDEX(Liste[],$E$2,372)</f>
        <v>28828000</v>
      </c>
      <c r="I196" s="7" t="str">
        <f t="shared" si="13"/>
        <v>DL</v>
      </c>
      <c r="J196" s="7" t="str">
        <f t="shared" si="16"/>
        <v>DL</v>
      </c>
      <c r="K196" s="7" t="str">
        <f>D196&amp;"(N1)"</f>
        <v>DL(N1)</v>
      </c>
      <c r="L196" s="163" t="str">
        <f>IFERROR(VLOOKUP(D196,Transco!B:E,4,FALSE),"")</f>
        <v>=INDEX(Liste;$E$2;371)</v>
      </c>
      <c r="M196" s="7" t="str">
        <f>IFERROR(VLOOKUP(J196,Transco!B:E,4,FALSE),"")</f>
        <v>=INDEX(Liste;$E$2;371)</v>
      </c>
      <c r="N196" s="7" t="str">
        <f>IFERROR(VLOOKUP(K196,Transco!B:E,4,FALSE),"")</f>
        <v>=INDEX(Liste;$E$2;372)</v>
      </c>
      <c r="O196" s="84" t="s">
        <v>3014</v>
      </c>
      <c r="P196" s="81">
        <f>INDEX(Liste[],$E$2,135)</f>
        <v>0</v>
      </c>
    </row>
    <row r="197" spans="2:16" x14ac:dyDescent="0.2">
      <c r="I197" s="7">
        <f t="shared" si="13"/>
        <v>0</v>
      </c>
      <c r="J197" s="7">
        <f t="shared" si="16"/>
        <v>0</v>
      </c>
      <c r="L197" s="163" t="str">
        <f>IFERROR(VLOOKUP(D197,Transco!B:E,4,FALSE),"")</f>
        <v/>
      </c>
      <c r="M197" s="7" t="str">
        <f>IFERROR(VLOOKUP(J197,Transco!B:E,4,FALSE),"")</f>
        <v/>
      </c>
      <c r="N197" s="7" t="str">
        <f>IFERROR(VLOOKUP(K197,Transco!B:E,4,FALSE),"")</f>
        <v/>
      </c>
      <c r="O197" s="84" t="s">
        <v>189</v>
      </c>
      <c r="P197" s="81">
        <f>INDEX(Liste[],$E$2,136)</f>
        <v>0</v>
      </c>
    </row>
    <row r="198" spans="2:16" x14ac:dyDescent="0.2">
      <c r="B198" s="46" t="s">
        <v>1667</v>
      </c>
      <c r="C198" s="40"/>
      <c r="D198" s="47" t="s">
        <v>737</v>
      </c>
      <c r="E198" s="57">
        <f>INDEX(Liste[],$E$2,349)</f>
        <v>0</v>
      </c>
      <c r="F198" s="71">
        <f>INDEX(Liste[],$E$2,349)</f>
        <v>0</v>
      </c>
      <c r="G198" s="71">
        <f>INDEX(Liste[],$E$2,350)</f>
        <v>0</v>
      </c>
      <c r="I198" s="7" t="str">
        <f t="shared" si="13"/>
        <v>DM</v>
      </c>
      <c r="J198" s="7" t="str">
        <f t="shared" si="16"/>
        <v>DM</v>
      </c>
      <c r="K198" s="7" t="str">
        <f>D198&amp;"(N1)"</f>
        <v>DM(N1)</v>
      </c>
      <c r="L198" s="163" t="str">
        <f>IFERROR(VLOOKUP(D198,Transco!B:E,4,FALSE),"")</f>
        <v>=INDEX(Liste;$E$2;349)</v>
      </c>
      <c r="M198" s="7" t="str">
        <f>IFERROR(VLOOKUP(J198,Transco!B:E,4,FALSE),"")</f>
        <v>=INDEX(Liste;$E$2;349)</v>
      </c>
      <c r="N198" s="7" t="str">
        <f>IFERROR(VLOOKUP(K198,Transco!B:E,4,FALSE),"")</f>
        <v>=INDEX(Liste;$E$2;350)</v>
      </c>
      <c r="O198" s="84" t="s">
        <v>3015</v>
      </c>
      <c r="P198" s="81">
        <f>INDEX(Liste[],$E$2,137)</f>
        <v>0</v>
      </c>
    </row>
    <row r="199" spans="2:16" x14ac:dyDescent="0.2">
      <c r="B199" s="46" t="s">
        <v>1668</v>
      </c>
      <c r="C199" s="40"/>
      <c r="D199" s="47" t="s">
        <v>701</v>
      </c>
      <c r="E199" s="57">
        <f>INDEX(Liste[],$E$2,309)</f>
        <v>0</v>
      </c>
      <c r="F199" s="71">
        <f>INDEX(Liste[],$E$2,309)</f>
        <v>0</v>
      </c>
      <c r="G199" s="71">
        <f>INDEX(Liste[],$E$2,310)</f>
        <v>0</v>
      </c>
      <c r="I199" s="7" t="str">
        <f t="shared" si="13"/>
        <v>DN</v>
      </c>
      <c r="J199" s="7" t="str">
        <f t="shared" si="16"/>
        <v>DN</v>
      </c>
      <c r="K199" s="7" t="str">
        <f>D199&amp;"(N1)"</f>
        <v>DN(N1)</v>
      </c>
      <c r="L199" s="163" t="str">
        <f>IFERROR(VLOOKUP(D199,Transco!B:E,4,FALSE),"")</f>
        <v>=INDEX(Liste;$E$2;309)</v>
      </c>
      <c r="M199" s="7" t="str">
        <f>IFERROR(VLOOKUP(J199,Transco!B:E,4,FALSE),"")</f>
        <v>=INDEX(Liste;$E$2;309)</v>
      </c>
      <c r="N199" s="7" t="str">
        <f>IFERROR(VLOOKUP(K199,Transco!B:E,4,FALSE),"")</f>
        <v>=INDEX(Liste;$E$2;310)</v>
      </c>
      <c r="O199" s="84" t="s">
        <v>3016</v>
      </c>
      <c r="P199" s="81">
        <f>INDEX(Liste[],$E$2,138)</f>
        <v>0</v>
      </c>
    </row>
    <row r="200" spans="2:16" x14ac:dyDescent="0.2">
      <c r="B200" s="127" t="s">
        <v>1669</v>
      </c>
      <c r="C200" s="40"/>
      <c r="D200" s="47" t="s">
        <v>1670</v>
      </c>
      <c r="E200" s="57"/>
      <c r="F200" s="71"/>
      <c r="G200" s="71"/>
      <c r="I200" s="7" t="str">
        <f t="shared" si="13"/>
        <v>CO3P</v>
      </c>
      <c r="J200" s="7" t="str">
        <f t="shared" si="16"/>
        <v>CO3P</v>
      </c>
      <c r="K200" s="7" t="str">
        <f>D200&amp;"(N1)"</f>
        <v>CO3P(N1)</v>
      </c>
      <c r="L200" s="163" t="str">
        <f>IFERROR(VLOOKUP(D200,Transco!B:E,4,FALSE),"")</f>
        <v/>
      </c>
      <c r="M200" s="7" t="str">
        <f>IFERROR(VLOOKUP(J200,Transco!B:E,4,FALSE),"")</f>
        <v/>
      </c>
      <c r="N200" s="7" t="str">
        <f>IFERROR(VLOOKUP(K200,Transco!B:E,4,FALSE),"")</f>
        <v/>
      </c>
      <c r="O200" s="84" t="s">
        <v>3017</v>
      </c>
      <c r="P200" s="81">
        <f>INDEX(Liste[],$E$2,139)</f>
        <v>0</v>
      </c>
    </row>
    <row r="201" spans="2:16" x14ac:dyDescent="0.2">
      <c r="I201" s="7">
        <f t="shared" si="13"/>
        <v>0</v>
      </c>
      <c r="J201" s="7">
        <f t="shared" si="16"/>
        <v>0</v>
      </c>
      <c r="L201" s="163" t="str">
        <f>IFERROR(VLOOKUP(D201,Transco!B:E,4,FALSE),"")</f>
        <v/>
      </c>
      <c r="M201" s="7" t="str">
        <f>IFERROR(VLOOKUP(J201,Transco!B:E,4,FALSE),"")</f>
        <v/>
      </c>
      <c r="N201" s="7" t="str">
        <f>IFERROR(VLOOKUP(K201,Transco!B:E,4,FALSE),"")</f>
        <v/>
      </c>
      <c r="O201" s="84" t="s">
        <v>3018</v>
      </c>
      <c r="P201" s="81">
        <f>INDEX(Liste[],$E$2,140)</f>
        <v>0</v>
      </c>
    </row>
    <row r="202" spans="2:16" x14ac:dyDescent="0.2">
      <c r="B202" s="111" t="s">
        <v>1671</v>
      </c>
      <c r="C202" s="112"/>
      <c r="D202" s="113" t="s">
        <v>757</v>
      </c>
      <c r="E202" s="113">
        <f>INDEX(Liste[],$E$2,373)</f>
        <v>0</v>
      </c>
      <c r="F202" s="126">
        <f>INDEX(Liste[],$E$2,373)</f>
        <v>0</v>
      </c>
      <c r="G202" s="126">
        <f>INDEX(Liste[],$E$2,374)</f>
        <v>0</v>
      </c>
      <c r="I202" s="7" t="str">
        <f t="shared" si="13"/>
        <v>DO</v>
      </c>
      <c r="J202" s="7" t="str">
        <f t="shared" si="16"/>
        <v>DO</v>
      </c>
      <c r="K202" s="7" t="str">
        <f>D202&amp;"(N1)"</f>
        <v>DO(N1)</v>
      </c>
      <c r="L202" s="163" t="str">
        <f>IFERROR(VLOOKUP(D202,Transco!B:E,4,FALSE),"")</f>
        <v>=INDEX(Liste;$E$2;373)</v>
      </c>
      <c r="M202" s="7" t="str">
        <f>IFERROR(VLOOKUP(J202,Transco!B:E,4,FALSE),"")</f>
        <v>=INDEX(Liste;$E$2;373)</v>
      </c>
      <c r="N202" s="7" t="str">
        <f>IFERROR(VLOOKUP(K202,Transco!B:E,4,FALSE),"")</f>
        <v>=INDEX(Liste;$E$2;374)</v>
      </c>
      <c r="O202" s="84" t="s">
        <v>3019</v>
      </c>
      <c r="P202" s="81">
        <f>INDEX(Liste[],$E$2,141)</f>
        <v>0</v>
      </c>
    </row>
    <row r="203" spans="2:16" x14ac:dyDescent="0.2">
      <c r="B203" s="38"/>
      <c r="C203" s="38"/>
      <c r="D203" s="103"/>
      <c r="E203" s="103"/>
      <c r="I203" s="7">
        <f t="shared" si="13"/>
        <v>0</v>
      </c>
      <c r="J203" s="7">
        <f t="shared" si="16"/>
        <v>0</v>
      </c>
      <c r="L203" s="163" t="str">
        <f>IFERROR(VLOOKUP(D203,Transco!B:E,4,FALSE),"")</f>
        <v/>
      </c>
      <c r="M203" s="7" t="str">
        <f>IFERROR(VLOOKUP(J203,Transco!B:E,4,FALSE),"")</f>
        <v/>
      </c>
      <c r="N203" s="7" t="str">
        <f>IFERROR(VLOOKUP(K203,Transco!B:E,4,FALSE),"")</f>
        <v/>
      </c>
      <c r="O203" s="84" t="s">
        <v>3020</v>
      </c>
      <c r="P203" s="81">
        <f>INDEX(Liste[],$E$2,142)</f>
        <v>25258000</v>
      </c>
    </row>
    <row r="204" spans="2:16" x14ac:dyDescent="0.2">
      <c r="B204" s="105" t="s">
        <v>1672</v>
      </c>
      <c r="C204" s="105"/>
      <c r="D204" s="106"/>
      <c r="E204" s="106"/>
      <c r="I204" s="7">
        <f t="shared" si="13"/>
        <v>0</v>
      </c>
      <c r="J204" s="7">
        <f t="shared" si="16"/>
        <v>0</v>
      </c>
      <c r="L204" s="163" t="str">
        <f>IFERROR(VLOOKUP(D204,Transco!B:E,4,FALSE),"")</f>
        <v/>
      </c>
      <c r="M204" s="7" t="str">
        <f>IFERROR(VLOOKUP(J204,Transco!B:E,4,FALSE),"")</f>
        <v/>
      </c>
      <c r="N204" s="7" t="str">
        <f>IFERROR(VLOOKUP(K204,Transco!B:E,4,FALSE),"")</f>
        <v/>
      </c>
      <c r="O204" s="84" t="s">
        <v>3021</v>
      </c>
      <c r="P204" s="81">
        <f>INDEX(Liste[],$E$2,143)</f>
        <v>24201000</v>
      </c>
    </row>
    <row r="205" spans="2:16" x14ac:dyDescent="0.2">
      <c r="B205" s="128" t="s">
        <v>1673</v>
      </c>
      <c r="C205" s="128"/>
      <c r="D205" s="129" t="s">
        <v>1674</v>
      </c>
      <c r="E205" s="71">
        <v>0</v>
      </c>
      <c r="F205" s="71">
        <v>0</v>
      </c>
      <c r="G205" s="71">
        <v>0</v>
      </c>
      <c r="I205" s="7" t="str">
        <f t="shared" si="13"/>
        <v>CO4P</v>
      </c>
      <c r="J205" s="7" t="str">
        <f t="shared" si="16"/>
        <v>CO4P</v>
      </c>
      <c r="K205" s="7" t="str">
        <f t="shared" ref="K205:K210" si="17">D205&amp;"(N1)"</f>
        <v>CO4P(N1)</v>
      </c>
      <c r="L205" s="163" t="str">
        <f>IFERROR(VLOOKUP(D205,Transco!B:E,4,FALSE),"")</f>
        <v/>
      </c>
      <c r="M205" s="7" t="str">
        <f>IFERROR(VLOOKUP(J205,Transco!B:E,4,FALSE),"")</f>
        <v/>
      </c>
      <c r="N205" s="7" t="str">
        <f>IFERROR(VLOOKUP(K205,Transco!B:E,4,FALSE),"")</f>
        <v/>
      </c>
      <c r="O205" s="84" t="s">
        <v>197</v>
      </c>
      <c r="P205" s="81">
        <f>INDEX(Liste[],$E$2,144)</f>
        <v>0</v>
      </c>
    </row>
    <row r="206" spans="2:16" x14ac:dyDescent="0.2">
      <c r="B206" s="128" t="s">
        <v>1675</v>
      </c>
      <c r="C206" s="128"/>
      <c r="D206" s="129" t="s">
        <v>707</v>
      </c>
      <c r="E206" s="71">
        <f>INDEX(Liste[],$E$2,315)</f>
        <v>0</v>
      </c>
      <c r="F206" s="71">
        <f>INDEX(Liste[],$E$2,315)</f>
        <v>0</v>
      </c>
      <c r="G206" s="71">
        <f>INDEX(Liste[],$E$2,316)</f>
        <v>0</v>
      </c>
      <c r="I206" s="7" t="str">
        <f t="shared" ref="I206:I269" si="18">D206</f>
        <v>CO5P</v>
      </c>
      <c r="J206" s="7" t="str">
        <f t="shared" si="16"/>
        <v>CO5P</v>
      </c>
      <c r="K206" s="7" t="str">
        <f t="shared" si="17"/>
        <v>CO5P(N1)</v>
      </c>
      <c r="L206" s="163" t="str">
        <f>IFERROR(VLOOKUP(D206,Transco!B:E,4,FALSE),"")</f>
        <v>=INDEX(Liste;$E$2;315)</v>
      </c>
      <c r="M206" s="7" t="str">
        <f>IFERROR(VLOOKUP(J206,Transco!B:E,4,FALSE),"")</f>
        <v>=INDEX(Liste;$E$2;315)</v>
      </c>
      <c r="N206" s="7" t="str">
        <f>IFERROR(VLOOKUP(K206,Transco!B:E,4,FALSE),"")</f>
        <v>=INDEX(Liste;$E$2;316)</v>
      </c>
      <c r="O206" s="84" t="s">
        <v>3022</v>
      </c>
      <c r="P206" s="81">
        <f>INDEX(Liste[],$E$2,145)</f>
        <v>0</v>
      </c>
    </row>
    <row r="207" spans="2:16" x14ac:dyDescent="0.2">
      <c r="B207" s="128" t="s">
        <v>1676</v>
      </c>
      <c r="C207" s="128"/>
      <c r="D207" s="129" t="s">
        <v>709</v>
      </c>
      <c r="E207" s="71">
        <f>INDEX(Liste[],$E$2,317)</f>
        <v>0</v>
      </c>
      <c r="F207" s="71">
        <f>INDEX(Liste[],$E$2,317)</f>
        <v>0</v>
      </c>
      <c r="G207" s="71">
        <f>INDEX(Liste[],$E$2,318)</f>
        <v>0</v>
      </c>
      <c r="I207" s="7" t="str">
        <f t="shared" si="18"/>
        <v>CO6P</v>
      </c>
      <c r="J207" s="7" t="str">
        <f t="shared" si="16"/>
        <v>CO6P</v>
      </c>
      <c r="K207" s="7" t="str">
        <f t="shared" si="17"/>
        <v>CO6P(N1)</v>
      </c>
      <c r="L207" s="163" t="str">
        <f>IFERROR(VLOOKUP(D207,Transco!B:E,4,FALSE),"")</f>
        <v>=INDEX(Liste;$E$2;317)</v>
      </c>
      <c r="M207" s="7" t="str">
        <f>IFERROR(VLOOKUP(J207,Transco!B:E,4,FALSE),"")</f>
        <v>=INDEX(Liste;$E$2;317)</v>
      </c>
      <c r="N207" s="7" t="str">
        <f>IFERROR(VLOOKUP(K207,Transco!B:E,4,FALSE),"")</f>
        <v>=INDEX(Liste;$E$2;318)</v>
      </c>
      <c r="O207" s="84" t="s">
        <v>3023</v>
      </c>
      <c r="P207" s="81">
        <f>INDEX(Liste[],$E$2,146)</f>
        <v>41941000</v>
      </c>
    </row>
    <row r="208" spans="2:16" x14ac:dyDescent="0.2">
      <c r="B208" s="111" t="s">
        <v>1677</v>
      </c>
      <c r="C208" s="112"/>
      <c r="D208" s="113" t="s">
        <v>1678</v>
      </c>
      <c r="E208" s="130">
        <f>SUM(E205:E207)</f>
        <v>0</v>
      </c>
      <c r="F208" s="130">
        <f>SUM(F205:F207)</f>
        <v>0</v>
      </c>
      <c r="G208" s="130">
        <f>SUM(G205:G207)</f>
        <v>0</v>
      </c>
      <c r="I208" s="7" t="str">
        <f t="shared" si="18"/>
        <v>CO7P</v>
      </c>
      <c r="J208" s="7" t="str">
        <f t="shared" si="16"/>
        <v>CO7P</v>
      </c>
      <c r="K208" s="7" t="str">
        <f t="shared" si="17"/>
        <v>CO7P(N1)</v>
      </c>
      <c r="L208" s="163" t="str">
        <f>IFERROR(VLOOKUP(D208,Transco!B:E,4,FALSE),"")</f>
        <v/>
      </c>
      <c r="M208" s="7" t="str">
        <f>IFERROR(VLOOKUP(J208,Transco!B:E,4,FALSE),"")</f>
        <v/>
      </c>
      <c r="N208" s="7" t="str">
        <f>IFERROR(VLOOKUP(K208,Transco!B:E,4,FALSE),"")</f>
        <v/>
      </c>
      <c r="O208" s="84" t="s">
        <v>3024</v>
      </c>
      <c r="P208" s="81">
        <f>INDEX(Liste[],$E$2,147)</f>
        <v>42430000</v>
      </c>
    </row>
    <row r="209" spans="2:16" x14ac:dyDescent="0.2">
      <c r="B209" s="128" t="s">
        <v>1679</v>
      </c>
      <c r="C209" s="128"/>
      <c r="D209" s="129" t="s">
        <v>1680</v>
      </c>
      <c r="E209" s="71">
        <f>INDEX(Liste[],$E$2,345)</f>
        <v>0</v>
      </c>
      <c r="F209" s="71">
        <f>INDEX(Liste[],$E$2,345)</f>
        <v>0</v>
      </c>
      <c r="G209" s="71">
        <f>INDEX(Liste[],$E$2,346)</f>
        <v>0</v>
      </c>
      <c r="I209" s="7" t="str">
        <f t="shared" si="18"/>
        <v>CO8P</v>
      </c>
      <c r="J209" s="7" t="str">
        <f t="shared" si="16"/>
        <v>CO8P</v>
      </c>
      <c r="K209" s="7" t="str">
        <f t="shared" si="17"/>
        <v>CO8P(N1)</v>
      </c>
      <c r="L209" s="163" t="str">
        <f>IFERROR(VLOOKUP(D209,Transco!B:E,4,FALSE),"")</f>
        <v>=INDEX(Liste;$E$2;345)</v>
      </c>
      <c r="M209" s="7" t="str">
        <f>IFERROR(VLOOKUP(J209,Transco!B:E,4,FALSE),"")</f>
        <v>=INDEX(Liste;$E$2;345)</v>
      </c>
      <c r="N209" s="7" t="str">
        <f>IFERROR(VLOOKUP(K209,Transco!B:E,4,FALSE),"")</f>
        <v>=INDEX(Liste;$E$2;346)</v>
      </c>
      <c r="O209" s="84" t="s">
        <v>201</v>
      </c>
      <c r="P209" s="81">
        <f>INDEX(Liste[],$E$2,148)</f>
        <v>0</v>
      </c>
    </row>
    <row r="210" spans="2:16" x14ac:dyDescent="0.2">
      <c r="B210" s="131" t="s">
        <v>1681</v>
      </c>
      <c r="C210" s="131"/>
      <c r="D210" s="132" t="s">
        <v>1682</v>
      </c>
      <c r="E210" s="71">
        <f>INDEX(Liste[],$E$2,337)</f>
        <v>0</v>
      </c>
      <c r="F210" s="71">
        <f>INDEX(Liste[],$E$2,337)</f>
        <v>0</v>
      </c>
      <c r="G210" s="71">
        <f>INDEX(Liste[],$E$2,338)</f>
        <v>0</v>
      </c>
      <c r="I210" s="7" t="str">
        <f t="shared" si="18"/>
        <v>CO9P</v>
      </c>
      <c r="J210" s="7" t="str">
        <f t="shared" si="16"/>
        <v>CO9P</v>
      </c>
      <c r="K210" s="7" t="str">
        <f t="shared" si="17"/>
        <v>CO9P(N1)</v>
      </c>
      <c r="L210" s="163" t="str">
        <f>IFERROR(VLOOKUP(D210,Transco!B:E,4,FALSE),"")</f>
        <v>=INDEX(Liste;$E$2;337)</v>
      </c>
      <c r="M210" s="7" t="str">
        <f>IFERROR(VLOOKUP(J210,Transco!B:E,4,FALSE),"")</f>
        <v>=INDEX(Liste;$E$2;337)</v>
      </c>
      <c r="N210" s="7" t="str">
        <f>IFERROR(VLOOKUP(K210,Transco!B:E,4,FALSE),"")</f>
        <v>=INDEX(Liste;$E$2;338)</v>
      </c>
      <c r="O210" s="84" t="s">
        <v>3025</v>
      </c>
      <c r="P210" s="81">
        <f>INDEX(Liste[],$E$2,149)</f>
        <v>0</v>
      </c>
    </row>
    <row r="211" spans="2:16" x14ac:dyDescent="0.2">
      <c r="I211" s="7">
        <f t="shared" si="18"/>
        <v>0</v>
      </c>
      <c r="J211" s="7">
        <f t="shared" si="16"/>
        <v>0</v>
      </c>
      <c r="L211" s="163" t="str">
        <f>IFERROR(VLOOKUP(D211,Transco!B:E,4,FALSE),"")</f>
        <v/>
      </c>
      <c r="M211" s="7" t="str">
        <f>IFERROR(VLOOKUP(J211,Transco!B:E,4,FALSE),"")</f>
        <v/>
      </c>
      <c r="N211" s="7" t="str">
        <f>IFERROR(VLOOKUP(K211,Transco!B:E,4,FALSE),"")</f>
        <v/>
      </c>
      <c r="O211" s="84" t="s">
        <v>3026</v>
      </c>
      <c r="P211" s="81">
        <f>INDEX(Liste[],$E$2,150)</f>
        <v>67199000</v>
      </c>
    </row>
    <row r="212" spans="2:16" x14ac:dyDescent="0.2">
      <c r="B212" s="39" t="s">
        <v>1683</v>
      </c>
      <c r="C212" s="40"/>
      <c r="D212" s="41" t="s">
        <v>741</v>
      </c>
      <c r="E212" s="117">
        <f>INDEX(Liste[],$E$2,353)</f>
        <v>0</v>
      </c>
      <c r="F212" s="133">
        <f>INDEX(Liste[],$E$2,353)</f>
        <v>0</v>
      </c>
      <c r="G212" s="133">
        <f>INDEX(Liste[],$E$2,354)</f>
        <v>0</v>
      </c>
      <c r="I212" s="7" t="str">
        <f t="shared" si="18"/>
        <v>DP</v>
      </c>
      <c r="J212" s="7" t="str">
        <f t="shared" si="16"/>
        <v>DP</v>
      </c>
      <c r="K212" s="7" t="str">
        <f>D212&amp;"(N1)"</f>
        <v>DP(N1)</v>
      </c>
      <c r="L212" s="163" t="str">
        <f>IFERROR(VLOOKUP(D212,Transco!B:E,4,FALSE),"")</f>
        <v>=INDEX(Liste;$E$2;353)</v>
      </c>
      <c r="M212" s="7" t="str">
        <f>IFERROR(VLOOKUP(J212,Transco!B:E,4,FALSE),"")</f>
        <v>=INDEX(Liste;$E$2;353)</v>
      </c>
      <c r="N212" s="7" t="str">
        <f>IFERROR(VLOOKUP(K212,Transco!B:E,4,FALSE),"")</f>
        <v>=INDEX(Liste;$E$2;354)</v>
      </c>
      <c r="O212" s="84" t="s">
        <v>3027</v>
      </c>
      <c r="P212" s="81">
        <f>INDEX(Liste[],$E$2,151)</f>
        <v>66631000</v>
      </c>
    </row>
    <row r="213" spans="2:16" x14ac:dyDescent="0.2">
      <c r="B213" s="39" t="s">
        <v>1684</v>
      </c>
      <c r="C213" s="40"/>
      <c r="D213" s="41" t="s">
        <v>743</v>
      </c>
      <c r="E213" s="117">
        <f>INDEX(Liste[],$E$2,355)</f>
        <v>0</v>
      </c>
      <c r="F213" s="133">
        <f>INDEX(Liste[],$E$2,355)</f>
        <v>0</v>
      </c>
      <c r="G213" s="133">
        <f>INDEX(Liste[],$E$2,356)</f>
        <v>0</v>
      </c>
      <c r="I213" s="7" t="str">
        <f t="shared" si="18"/>
        <v>DQ</v>
      </c>
      <c r="J213" s="7" t="str">
        <f t="shared" si="16"/>
        <v>DQ</v>
      </c>
      <c r="K213" s="7" t="str">
        <f>D213&amp;"(N1)"</f>
        <v>DQ(N1)</v>
      </c>
      <c r="L213" s="163" t="str">
        <f>IFERROR(VLOOKUP(D213,Transco!B:E,4,FALSE),"")</f>
        <v>=INDEX(Liste;$E$2;355)</v>
      </c>
      <c r="M213" s="7" t="str">
        <f>IFERROR(VLOOKUP(J213,Transco!B:E,4,FALSE),"")</f>
        <v>=INDEX(Liste;$E$2;355)</v>
      </c>
      <c r="N213" s="7" t="str">
        <f>IFERROR(VLOOKUP(K213,Transco!B:E,4,FALSE),"")</f>
        <v>=INDEX(Liste;$E$2;356)</v>
      </c>
      <c r="O213" s="84" t="s">
        <v>205</v>
      </c>
      <c r="P213" s="81">
        <f>INDEX(Liste[],$E$2,152)</f>
        <v>0</v>
      </c>
    </row>
    <row r="214" spans="2:16" x14ac:dyDescent="0.2">
      <c r="I214" s="7">
        <f t="shared" si="18"/>
        <v>0</v>
      </c>
      <c r="J214" s="7">
        <f t="shared" si="16"/>
        <v>0</v>
      </c>
      <c r="L214" s="163" t="str">
        <f>IFERROR(VLOOKUP(D214,Transco!B:E,4,FALSE),"")</f>
        <v/>
      </c>
      <c r="M214" s="7" t="str">
        <f>IFERROR(VLOOKUP(J214,Transco!B:E,4,FALSE),"")</f>
        <v/>
      </c>
      <c r="N214" s="7" t="str">
        <f>IFERROR(VLOOKUP(K214,Transco!B:E,4,FALSE),"")</f>
        <v/>
      </c>
      <c r="O214" s="84" t="s">
        <v>3028</v>
      </c>
      <c r="P214" s="81">
        <f>INDEX(Liste[],$E$2,153)</f>
        <v>0</v>
      </c>
    </row>
    <row r="215" spans="2:16" x14ac:dyDescent="0.2">
      <c r="B215" s="111" t="s">
        <v>1685</v>
      </c>
      <c r="C215" s="112"/>
      <c r="D215" s="113" t="s">
        <v>759</v>
      </c>
      <c r="E215" s="130">
        <f>INDEX(Liste[],$E$2,375)</f>
        <v>0</v>
      </c>
      <c r="F215" s="130">
        <f>INDEX(Liste[],$E$2,375)</f>
        <v>0</v>
      </c>
      <c r="G215" s="130">
        <f>INDEX(Liste[],$E$2,376)</f>
        <v>0</v>
      </c>
      <c r="I215" s="7" t="str">
        <f t="shared" si="18"/>
        <v>DR</v>
      </c>
      <c r="J215" s="7" t="str">
        <f t="shared" si="16"/>
        <v>DR</v>
      </c>
      <c r="K215" s="7" t="str">
        <f>D215&amp;"(N1)"</f>
        <v>DR(N1)</v>
      </c>
      <c r="L215" s="163" t="str">
        <f>IFERROR(VLOOKUP(D215,Transco!B:E,4,FALSE),"")</f>
        <v>=INDEX(Liste;$E$2;375)</v>
      </c>
      <c r="M215" s="7" t="str">
        <f>IFERROR(VLOOKUP(J215,Transco!B:E,4,FALSE),"")</f>
        <v>=INDEX(Liste;$E$2;375)</v>
      </c>
      <c r="N215" s="7" t="str">
        <f>IFERROR(VLOOKUP(K215,Transco!B:E,4,FALSE),"")</f>
        <v>=INDEX(Liste;$E$2;376)</v>
      </c>
      <c r="O215" s="84" t="s">
        <v>3029</v>
      </c>
      <c r="P215" s="81">
        <f>INDEX(Liste[],$E$2,154)</f>
        <v>0</v>
      </c>
    </row>
    <row r="216" spans="2:16" x14ac:dyDescent="0.2">
      <c r="I216" s="7">
        <f t="shared" si="18"/>
        <v>0</v>
      </c>
      <c r="J216" s="7">
        <f t="shared" si="16"/>
        <v>0</v>
      </c>
      <c r="L216" s="163" t="str">
        <f>IFERROR(VLOOKUP(D216,Transco!B:E,4,FALSE),"")</f>
        <v/>
      </c>
      <c r="M216" s="7" t="str">
        <f>IFERROR(VLOOKUP(J216,Transco!B:E,4,FALSE),"")</f>
        <v/>
      </c>
      <c r="N216" s="7" t="str">
        <f>IFERROR(VLOOKUP(K216,Transco!B:E,4,FALSE),"")</f>
        <v/>
      </c>
      <c r="O216" s="84" t="s">
        <v>3030</v>
      </c>
      <c r="P216" s="81">
        <f>INDEX(Liste[],$E$2,155)</f>
        <v>0</v>
      </c>
    </row>
    <row r="217" spans="2:16" x14ac:dyDescent="0.2">
      <c r="B217" s="105" t="s">
        <v>1686</v>
      </c>
      <c r="C217" s="38"/>
      <c r="D217" s="103"/>
      <c r="E217" s="103"/>
      <c r="I217" s="7">
        <f t="shared" si="18"/>
        <v>0</v>
      </c>
      <c r="J217" s="7">
        <f t="shared" si="16"/>
        <v>0</v>
      </c>
      <c r="L217" s="163" t="str">
        <f>IFERROR(VLOOKUP(D217,Transco!B:E,4,FALSE),"")</f>
        <v/>
      </c>
      <c r="M217" s="7" t="str">
        <f>IFERROR(VLOOKUP(J217,Transco!B:E,4,FALSE),"")</f>
        <v/>
      </c>
      <c r="N217" s="7" t="str">
        <f>IFERROR(VLOOKUP(K217,Transco!B:E,4,FALSE),"")</f>
        <v/>
      </c>
      <c r="O217" s="85" t="s">
        <v>3031</v>
      </c>
      <c r="P217" s="81">
        <f>INDEX(Liste[],$E$2,158)</f>
        <v>0</v>
      </c>
    </row>
    <row r="218" spans="2:16" x14ac:dyDescent="0.2">
      <c r="C218" s="105"/>
      <c r="D218" s="106"/>
      <c r="E218" s="106"/>
      <c r="I218" s="7">
        <f t="shared" si="18"/>
        <v>0</v>
      </c>
      <c r="J218" s="7">
        <f t="shared" si="16"/>
        <v>0</v>
      </c>
      <c r="L218" s="163" t="str">
        <f>IFERROR(VLOOKUP(D218,Transco!B:E,4,FALSE),"")</f>
        <v/>
      </c>
      <c r="M218" s="7" t="str">
        <f>IFERROR(VLOOKUP(J218,Transco!B:E,4,FALSE),"")</f>
        <v/>
      </c>
      <c r="N218" s="7" t="str">
        <f>IFERROR(VLOOKUP(K218,Transco!B:E,4,FALSE),"")</f>
        <v/>
      </c>
      <c r="O218" s="85" t="s">
        <v>3032</v>
      </c>
      <c r="P218" s="81">
        <f>INDEX(Liste[],$E$2,159)</f>
        <v>0</v>
      </c>
    </row>
    <row r="219" spans="2:16" x14ac:dyDescent="0.2">
      <c r="B219" s="105" t="s">
        <v>1687</v>
      </c>
      <c r="C219" s="38"/>
      <c r="D219" s="103"/>
      <c r="E219" s="103"/>
      <c r="I219" s="7">
        <f t="shared" si="18"/>
        <v>0</v>
      </c>
      <c r="J219" s="7">
        <f t="shared" si="16"/>
        <v>0</v>
      </c>
      <c r="L219" s="163" t="str">
        <f>IFERROR(VLOOKUP(D219,Transco!B:E,4,FALSE),"")</f>
        <v/>
      </c>
      <c r="M219" s="7" t="str">
        <f>IFERROR(VLOOKUP(J219,Transco!B:E,4,FALSE),"")</f>
        <v/>
      </c>
      <c r="N219" s="7" t="str">
        <f>IFERROR(VLOOKUP(K219,Transco!B:E,4,FALSE),"")</f>
        <v/>
      </c>
      <c r="O219" s="85" t="s">
        <v>3033</v>
      </c>
      <c r="P219" s="81">
        <f>INDEX(Liste[],$E$2,160)</f>
        <v>0</v>
      </c>
    </row>
    <row r="220" spans="2:16" x14ac:dyDescent="0.2">
      <c r="B220" s="39" t="s">
        <v>1688</v>
      </c>
      <c r="C220" s="40"/>
      <c r="D220" s="41" t="s">
        <v>733</v>
      </c>
      <c r="E220" s="57">
        <f>INDEX(Liste[],$E$2,343)</f>
        <v>0</v>
      </c>
      <c r="F220" s="71">
        <f>INDEX(Liste[],$E$2,343)</f>
        <v>0</v>
      </c>
      <c r="G220" s="71">
        <f>INDEX(Liste[],$E$2,344)</f>
        <v>0</v>
      </c>
      <c r="I220" s="7" t="str">
        <f t="shared" si="18"/>
        <v>DS</v>
      </c>
      <c r="J220" s="7" t="str">
        <f t="shared" si="16"/>
        <v>DS</v>
      </c>
      <c r="K220" s="7" t="str">
        <f>D220&amp;"(N1)"</f>
        <v>DS(N1)</v>
      </c>
      <c r="L220" s="163" t="str">
        <f>IFERROR(VLOOKUP(D220,Transco!B:E,4,FALSE),"")</f>
        <v>=INDEX(Liste;$E$2;343)</v>
      </c>
      <c r="M220" s="7" t="str">
        <f>IFERROR(VLOOKUP(J220,Transco!B:E,4,FALSE),"")</f>
        <v>=INDEX(Liste;$E$2;343)</v>
      </c>
      <c r="N220" s="7" t="str">
        <f>IFERROR(VLOOKUP(K220,Transco!B:E,4,FALSE),"")</f>
        <v>=INDEX(Liste;$E$2;344)</v>
      </c>
      <c r="O220" s="85" t="s">
        <v>3034</v>
      </c>
      <c r="P220" s="81">
        <f>INDEX(Liste[],$E$2,161)</f>
        <v>0</v>
      </c>
    </row>
    <row r="221" spans="2:16" x14ac:dyDescent="0.2">
      <c r="B221" s="39" t="s">
        <v>1689</v>
      </c>
      <c r="C221" s="40"/>
      <c r="D221" s="41" t="s">
        <v>697</v>
      </c>
      <c r="E221" s="57">
        <f>INDEX(Liste[],$E$2,305)</f>
        <v>0</v>
      </c>
      <c r="F221" s="71">
        <f>INDEX(Liste[],$E$2,305)</f>
        <v>0</v>
      </c>
      <c r="G221" s="71">
        <f>INDEX(Liste[],$E$2,306)</f>
        <v>0</v>
      </c>
      <c r="I221" s="7" t="str">
        <f t="shared" si="18"/>
        <v>DT</v>
      </c>
      <c r="J221" s="7" t="str">
        <f t="shared" si="16"/>
        <v>DT</v>
      </c>
      <c r="K221" s="7" t="str">
        <f>D221&amp;"(N1)"</f>
        <v>DT(N1)</v>
      </c>
      <c r="L221" s="163" t="str">
        <f>IFERROR(VLOOKUP(D221,Transco!B:E,4,FALSE),"")</f>
        <v>=INDEX(Liste;$E$2;305)</v>
      </c>
      <c r="M221" s="7" t="str">
        <f>IFERROR(VLOOKUP(J221,Transco!B:E,4,FALSE),"")</f>
        <v>=INDEX(Liste;$E$2;305)</v>
      </c>
      <c r="N221" s="7" t="str">
        <f>IFERROR(VLOOKUP(K221,Transco!B:E,4,FALSE),"")</f>
        <v>=INDEX(Liste;$E$2;306)</v>
      </c>
      <c r="O221" s="85" t="s">
        <v>213</v>
      </c>
      <c r="P221" s="81">
        <f>INDEX(Liste[],$E$2,162)</f>
        <v>0</v>
      </c>
    </row>
    <row r="222" spans="2:16" x14ac:dyDescent="0.2">
      <c r="B222" s="39" t="s">
        <v>1690</v>
      </c>
      <c r="C222" s="40"/>
      <c r="D222" s="41" t="s">
        <v>729</v>
      </c>
      <c r="E222" s="57">
        <f>INDEX(Liste[],$E$2,339)</f>
        <v>0</v>
      </c>
      <c r="F222" s="71">
        <f>INDEX(Liste[],$E$2,339)</f>
        <v>0</v>
      </c>
      <c r="G222" s="71">
        <f>INDEX(Liste[],$E$2,340)</f>
        <v>0</v>
      </c>
      <c r="I222" s="7" t="str">
        <f t="shared" si="18"/>
        <v>DU</v>
      </c>
      <c r="J222" s="7" t="str">
        <f t="shared" si="16"/>
        <v>DU</v>
      </c>
      <c r="K222" s="7" t="str">
        <f>D222&amp;"(N1)"</f>
        <v>DU(N1)</v>
      </c>
      <c r="L222" s="163" t="str">
        <f>IFERROR(VLOOKUP(D222,Transco!B:E,4,FALSE),"")</f>
        <v>=INDEX(Liste;$E$2;339)</v>
      </c>
      <c r="M222" s="7" t="str">
        <f>IFERROR(VLOOKUP(J222,Transco!B:E,4,FALSE),"")</f>
        <v>=INDEX(Liste;$E$2;339)</v>
      </c>
      <c r="N222" s="7" t="str">
        <f>IFERROR(VLOOKUP(K222,Transco!B:E,4,FALSE),"")</f>
        <v>=INDEX(Liste;$E$2;340)</v>
      </c>
      <c r="O222" s="85" t="s">
        <v>3035</v>
      </c>
      <c r="P222" s="81">
        <f>INDEX(Liste[],$E$2,163)</f>
        <v>0</v>
      </c>
    </row>
    <row r="223" spans="2:16" x14ac:dyDescent="0.2">
      <c r="B223" s="39" t="s">
        <v>1691</v>
      </c>
      <c r="C223" s="40"/>
      <c r="D223" s="41" t="s">
        <v>731</v>
      </c>
      <c r="E223" s="57">
        <f>INDEX(Liste[],$E$2,341)</f>
        <v>7690000</v>
      </c>
      <c r="F223" s="71">
        <f>INDEX(Liste[],$E$2,341)</f>
        <v>7690000</v>
      </c>
      <c r="G223" s="71">
        <f>INDEX(Liste[],$E$2,342)</f>
        <v>7846000</v>
      </c>
      <c r="I223" s="7" t="str">
        <f t="shared" si="18"/>
        <v>DV</v>
      </c>
      <c r="J223" s="7" t="str">
        <f t="shared" si="16"/>
        <v>DV</v>
      </c>
      <c r="K223" s="7" t="str">
        <f>D223&amp;"(N1)"</f>
        <v>DV(N1)</v>
      </c>
      <c r="L223" s="163" t="str">
        <f>IFERROR(VLOOKUP(D223,Transco!B:E,4,FALSE),"")</f>
        <v>=INDEX(Liste;$E$2;341)</v>
      </c>
      <c r="M223" s="7" t="str">
        <f>IFERROR(VLOOKUP(J223,Transco!B:E,4,FALSE),"")</f>
        <v>=INDEX(Liste;$E$2;341)</v>
      </c>
      <c r="N223" s="7" t="str">
        <f>IFERROR(VLOOKUP(K223,Transco!B:E,4,FALSE),"")</f>
        <v>=INDEX(Liste;$E$2;342)</v>
      </c>
      <c r="O223" s="85" t="s">
        <v>3036</v>
      </c>
      <c r="P223" s="81">
        <f>INDEX(Liste[],$E$2,164)</f>
        <v>0</v>
      </c>
    </row>
    <row r="224" spans="2:16" x14ac:dyDescent="0.2">
      <c r="B224" s="38"/>
      <c r="C224" s="38"/>
      <c r="D224" s="103"/>
      <c r="E224" s="103"/>
      <c r="I224" s="7">
        <f t="shared" si="18"/>
        <v>0</v>
      </c>
      <c r="J224" s="7">
        <f t="shared" si="16"/>
        <v>0</v>
      </c>
      <c r="L224" s="163" t="str">
        <f>IFERROR(VLOOKUP(D224,Transco!B:E,4,FALSE),"")</f>
        <v/>
      </c>
      <c r="M224" s="7" t="str">
        <f>IFERROR(VLOOKUP(J224,Transco!B:E,4,FALSE),"")</f>
        <v/>
      </c>
      <c r="N224" s="7" t="str">
        <f>IFERROR(VLOOKUP(K224,Transco!B:E,4,FALSE),"")</f>
        <v/>
      </c>
      <c r="O224" s="85" t="s">
        <v>3037</v>
      </c>
      <c r="P224" s="81">
        <f>INDEX(Liste[],$E$2,165)</f>
        <v>301000</v>
      </c>
    </row>
    <row r="225" spans="2:16" x14ac:dyDescent="0.2">
      <c r="B225" s="105" t="s">
        <v>1692</v>
      </c>
      <c r="C225" s="38"/>
      <c r="D225" s="103"/>
      <c r="E225" s="103"/>
      <c r="I225" s="7">
        <f t="shared" si="18"/>
        <v>0</v>
      </c>
      <c r="J225" s="7">
        <f t="shared" si="16"/>
        <v>0</v>
      </c>
      <c r="L225" s="163" t="str">
        <f>IFERROR(VLOOKUP(D225,Transco!B:E,4,FALSE),"")</f>
        <v/>
      </c>
      <c r="M225" s="7" t="str">
        <f>IFERROR(VLOOKUP(J225,Transco!B:E,4,FALSE),"")</f>
        <v/>
      </c>
      <c r="N225" s="7" t="str">
        <f>IFERROR(VLOOKUP(K225,Transco!B:E,4,FALSE),"")</f>
        <v/>
      </c>
      <c r="O225" s="85" t="s">
        <v>3038</v>
      </c>
      <c r="P225" s="81">
        <f>INDEX(Liste[],$E$2,166)</f>
        <v>253000</v>
      </c>
    </row>
    <row r="226" spans="2:16" x14ac:dyDescent="0.2">
      <c r="B226" s="39" t="s">
        <v>1693</v>
      </c>
      <c r="C226" s="40"/>
      <c r="D226" s="41" t="s">
        <v>703</v>
      </c>
      <c r="E226" s="57">
        <f>INDEX(Liste[],$E$2,311)</f>
        <v>0</v>
      </c>
      <c r="F226" s="71">
        <f>INDEX(Liste[],$E$2,311)</f>
        <v>0</v>
      </c>
      <c r="G226" s="71">
        <f>INDEX(Liste[],$E$2,312)</f>
        <v>0</v>
      </c>
      <c r="I226" s="7" t="str">
        <f t="shared" si="18"/>
        <v>DW</v>
      </c>
      <c r="J226" s="7" t="str">
        <f t="shared" si="16"/>
        <v>DW</v>
      </c>
      <c r="K226" s="7" t="str">
        <f t="shared" ref="K226:K231" si="19">D226&amp;"(N1)"</f>
        <v>DW(N1)</v>
      </c>
      <c r="L226" s="163" t="str">
        <f>IFERROR(VLOOKUP(D226,Transco!B:E,4,FALSE),"")</f>
        <v>=INDEX(Liste;$E$2;311)</v>
      </c>
      <c r="M226" s="7" t="str">
        <f>IFERROR(VLOOKUP(J226,Transco!B:E,4,FALSE),"")</f>
        <v>=INDEX(Liste;$E$2;311)</v>
      </c>
      <c r="N226" s="7" t="str">
        <f>IFERROR(VLOOKUP(K226,Transco!B:E,4,FALSE),"")</f>
        <v>=INDEX(Liste;$E$2;312)</v>
      </c>
      <c r="O226" s="85" t="s">
        <v>3039</v>
      </c>
      <c r="P226" s="81">
        <f>INDEX(Liste[],$E$2,167)</f>
        <v>0</v>
      </c>
    </row>
    <row r="227" spans="2:16" x14ac:dyDescent="0.2">
      <c r="B227" s="39" t="s">
        <v>1694</v>
      </c>
      <c r="C227" s="40"/>
      <c r="D227" s="41" t="s">
        <v>715</v>
      </c>
      <c r="E227" s="57">
        <f>INDEX(Liste[],$E$2,323)</f>
        <v>3899000</v>
      </c>
      <c r="F227" s="71">
        <f>INDEX(Liste[],$E$2,323)</f>
        <v>3899000</v>
      </c>
      <c r="G227" s="71">
        <f>INDEX(Liste[],$E$2,324)</f>
        <v>5291000</v>
      </c>
      <c r="I227" s="7" t="str">
        <f t="shared" si="18"/>
        <v>DX</v>
      </c>
      <c r="J227" s="7" t="str">
        <f t="shared" si="16"/>
        <v>DX</v>
      </c>
      <c r="K227" s="7" t="str">
        <f t="shared" si="19"/>
        <v>DX(N1)</v>
      </c>
      <c r="L227" s="163" t="str">
        <f>IFERROR(VLOOKUP(D227,Transco!B:E,4,FALSE),"")</f>
        <v>=INDEX(Liste;$E$2;323)</v>
      </c>
      <c r="M227" s="7" t="str">
        <f>IFERROR(VLOOKUP(J227,Transco!B:E,4,FALSE),"")</f>
        <v>=INDEX(Liste;$E$2;323)</v>
      </c>
      <c r="N227" s="7" t="str">
        <f>IFERROR(VLOOKUP(K227,Transco!B:E,4,FALSE),"")</f>
        <v>=INDEX(Liste;$E$2;324)</v>
      </c>
      <c r="O227" s="85" t="s">
        <v>3040</v>
      </c>
      <c r="P227" s="81">
        <f>INDEX(Liste[],$E$2,168)</f>
        <v>0</v>
      </c>
    </row>
    <row r="228" spans="2:16" x14ac:dyDescent="0.2">
      <c r="B228" s="39" t="s">
        <v>1695</v>
      </c>
      <c r="C228" s="40"/>
      <c r="D228" s="41" t="s">
        <v>713</v>
      </c>
      <c r="E228" s="57">
        <f>INDEX(Liste[],$E$2,321)</f>
        <v>0</v>
      </c>
      <c r="F228" s="71">
        <f>INDEX(Liste[],$E$2,321)</f>
        <v>0</v>
      </c>
      <c r="G228" s="71">
        <f>INDEX(Liste[],$E$2,322)</f>
        <v>0</v>
      </c>
      <c r="I228" s="7" t="str">
        <f t="shared" si="18"/>
        <v>DY</v>
      </c>
      <c r="J228" s="7" t="str">
        <f t="shared" si="16"/>
        <v>DY</v>
      </c>
      <c r="K228" s="7" t="str">
        <f t="shared" si="19"/>
        <v>DY(N1)</v>
      </c>
      <c r="L228" s="163" t="str">
        <f>IFERROR(VLOOKUP(D228,Transco!B:E,4,FALSE),"")</f>
        <v>=INDEX(Liste;$E$2;321)</v>
      </c>
      <c r="M228" s="7" t="str">
        <f>IFERROR(VLOOKUP(J228,Transco!B:E,4,FALSE),"")</f>
        <v>=INDEX(Liste;$E$2;321)</v>
      </c>
      <c r="N228" s="7" t="str">
        <f>IFERROR(VLOOKUP(K228,Transco!B:E,4,FALSE),"")</f>
        <v>=INDEX(Liste;$E$2;322)</v>
      </c>
      <c r="O228" s="85" t="s">
        <v>3041</v>
      </c>
      <c r="P228" s="81">
        <f>INDEX(Liste[],$E$2,169)</f>
        <v>0</v>
      </c>
    </row>
    <row r="229" spans="2:16" x14ac:dyDescent="0.2">
      <c r="B229" s="39" t="s">
        <v>1696</v>
      </c>
      <c r="C229" s="40"/>
      <c r="D229" s="41" t="s">
        <v>717</v>
      </c>
      <c r="E229" s="57">
        <f>INDEX(Liste[],$E$2,325)</f>
        <v>0</v>
      </c>
      <c r="F229" s="71">
        <f>INDEX(Liste[],$E$2,325)</f>
        <v>0</v>
      </c>
      <c r="G229" s="71">
        <f>INDEX(Liste[],$E$2,326)</f>
        <v>0</v>
      </c>
      <c r="I229" s="7" t="str">
        <f t="shared" si="18"/>
        <v>DZ</v>
      </c>
      <c r="J229" s="7" t="str">
        <f t="shared" si="16"/>
        <v>DZ</v>
      </c>
      <c r="K229" s="7" t="str">
        <f t="shared" si="19"/>
        <v>DZ(N1)</v>
      </c>
      <c r="L229" s="163" t="str">
        <f>IFERROR(VLOOKUP(D229,Transco!B:E,4,FALSE),"")</f>
        <v>=INDEX(Liste;$E$2;325)</v>
      </c>
      <c r="M229" s="7" t="str">
        <f>IFERROR(VLOOKUP(J229,Transco!B:E,4,FALSE),"")</f>
        <v>=INDEX(Liste;$E$2;325)</v>
      </c>
      <c r="N229" s="7" t="str">
        <f>IFERROR(VLOOKUP(K229,Transco!B:E,4,FALSE),"")</f>
        <v>=INDEX(Liste;$E$2;326)</v>
      </c>
      <c r="O229" s="85" t="s">
        <v>3042</v>
      </c>
      <c r="P229" s="81">
        <f>INDEX(Liste[],$E$2,170)</f>
        <v>0</v>
      </c>
    </row>
    <row r="230" spans="2:16" x14ac:dyDescent="0.2">
      <c r="B230" s="39" t="s">
        <v>1697</v>
      </c>
      <c r="C230" s="40"/>
      <c r="D230" s="41" t="s">
        <v>695</v>
      </c>
      <c r="E230" s="57">
        <f>INDEX(Liste[],$E$2,303)</f>
        <v>0</v>
      </c>
      <c r="F230" s="71">
        <f>INDEX(Liste[],$E$2,303)</f>
        <v>0</v>
      </c>
      <c r="G230" s="71">
        <f>INDEX(Liste[],$E$2,304)</f>
        <v>0</v>
      </c>
      <c r="I230" s="7" t="str">
        <f t="shared" si="18"/>
        <v>EA</v>
      </c>
      <c r="J230" s="7" t="str">
        <f t="shared" si="16"/>
        <v>EA</v>
      </c>
      <c r="K230" s="7" t="str">
        <f t="shared" si="19"/>
        <v>EA(N1)</v>
      </c>
      <c r="L230" s="163" t="str">
        <f>IFERROR(VLOOKUP(D230,Transco!B:E,4,FALSE),"")</f>
        <v>=INDEX(Liste;$E$2;303)</v>
      </c>
      <c r="M230" s="7" t="str">
        <f>IFERROR(VLOOKUP(J230,Transco!B:E,4,FALSE),"")</f>
        <v>=INDEX(Liste;$E$2;303)</v>
      </c>
      <c r="N230" s="7" t="str">
        <f>IFERROR(VLOOKUP(K230,Transco!B:E,4,FALSE),"")</f>
        <v>=INDEX(Liste;$E$2;304)</v>
      </c>
      <c r="O230" s="85" t="s">
        <v>3043</v>
      </c>
      <c r="P230" s="81">
        <f>INDEX(Liste[],$E$2,171)</f>
        <v>0</v>
      </c>
    </row>
    <row r="231" spans="2:16" x14ac:dyDescent="0.2">
      <c r="B231" s="39" t="s">
        <v>1698</v>
      </c>
      <c r="C231" s="40"/>
      <c r="D231" s="41" t="s">
        <v>739</v>
      </c>
      <c r="E231" s="57">
        <f>INDEX(Liste[],$E$2,351)</f>
        <v>0</v>
      </c>
      <c r="F231" s="71">
        <f>INDEX(Liste[],$E$2,351)</f>
        <v>0</v>
      </c>
      <c r="G231" s="71">
        <f>INDEX(Liste[],$E$2,352)</f>
        <v>0</v>
      </c>
      <c r="I231" s="7" t="str">
        <f t="shared" si="18"/>
        <v>EB</v>
      </c>
      <c r="J231" s="7" t="str">
        <f t="shared" si="16"/>
        <v>EB</v>
      </c>
      <c r="K231" s="7" t="str">
        <f t="shared" si="19"/>
        <v>EB(N1)</v>
      </c>
      <c r="L231" s="163" t="str">
        <f>IFERROR(VLOOKUP(D231,Transco!B:E,4,FALSE),"")</f>
        <v>=INDEX(Liste;$E$2;351)</v>
      </c>
      <c r="M231" s="7" t="str">
        <f>IFERROR(VLOOKUP(J231,Transco!B:E,4,FALSE),"")</f>
        <v>=INDEX(Liste;$E$2;351)</v>
      </c>
      <c r="N231" s="7" t="str">
        <f>IFERROR(VLOOKUP(K231,Transco!B:E,4,FALSE),"")</f>
        <v>=INDEX(Liste;$E$2;352)</v>
      </c>
      <c r="O231" s="85" t="s">
        <v>3044</v>
      </c>
      <c r="P231" s="81">
        <f>INDEX(Liste[],$E$2,172)</f>
        <v>0</v>
      </c>
    </row>
    <row r="232" spans="2:16" x14ac:dyDescent="0.2">
      <c r="I232" s="7">
        <f t="shared" si="18"/>
        <v>0</v>
      </c>
      <c r="J232" s="7">
        <f t="shared" si="16"/>
        <v>0</v>
      </c>
      <c r="L232" s="163" t="str">
        <f>IFERROR(VLOOKUP(D232,Transco!B:E,4,FALSE),"")</f>
        <v/>
      </c>
      <c r="M232" s="7" t="str">
        <f>IFERROR(VLOOKUP(J232,Transco!B:E,4,FALSE),"")</f>
        <v/>
      </c>
      <c r="N232" s="7" t="str">
        <f>IFERROR(VLOOKUP(K232,Transco!B:E,4,FALSE),"")</f>
        <v/>
      </c>
      <c r="O232" s="85" t="s">
        <v>3045</v>
      </c>
      <c r="P232" s="81">
        <f>INDEX(Liste[],$E$2,173)</f>
        <v>-1155000</v>
      </c>
    </row>
    <row r="233" spans="2:16" x14ac:dyDescent="0.2">
      <c r="B233" s="111" t="s">
        <v>1699</v>
      </c>
      <c r="C233" s="112"/>
      <c r="D233" s="113" t="s">
        <v>761</v>
      </c>
      <c r="E233" s="130">
        <f>INDEX(Liste[],$E$2,377)</f>
        <v>33761000</v>
      </c>
      <c r="F233" s="134">
        <f>INDEX(Liste[],$E$2,377)</f>
        <v>33761000</v>
      </c>
      <c r="G233" s="134">
        <f>INDEX(Liste[],$E$2,378)</f>
        <v>36034000</v>
      </c>
      <c r="I233" s="7" t="str">
        <f t="shared" si="18"/>
        <v>EC</v>
      </c>
      <c r="J233" s="7" t="str">
        <f t="shared" si="16"/>
        <v>EC</v>
      </c>
      <c r="K233" s="7" t="str">
        <f>D233&amp;"(N1)"</f>
        <v>EC(N1)</v>
      </c>
      <c r="L233" s="163" t="str">
        <f>IFERROR(VLOOKUP(D233,Transco!B:E,4,FALSE),"")</f>
        <v>=INDEX(Liste;$E$2;377)</v>
      </c>
      <c r="M233" s="7" t="str">
        <f>IFERROR(VLOOKUP(J233,Transco!B:E,4,FALSE),"")</f>
        <v>=INDEX(Liste;$E$2;377)</v>
      </c>
      <c r="N233" s="7" t="str">
        <f>IFERROR(VLOOKUP(K233,Transco!B:E,4,FALSE),"")</f>
        <v>=INDEX(Liste;$E$2;378)</v>
      </c>
      <c r="O233" s="85" t="s">
        <v>3046</v>
      </c>
      <c r="P233" s="81">
        <f>INDEX(Liste[],$E$2,174)</f>
        <v>-1140000</v>
      </c>
    </row>
    <row r="234" spans="2:16" x14ac:dyDescent="0.2">
      <c r="B234" s="38"/>
      <c r="C234" s="38"/>
      <c r="D234" s="103"/>
      <c r="E234" s="103"/>
      <c r="I234" s="7">
        <f t="shared" si="18"/>
        <v>0</v>
      </c>
      <c r="J234" s="7">
        <f t="shared" si="16"/>
        <v>0</v>
      </c>
      <c r="L234" s="163" t="str">
        <f>IFERROR(VLOOKUP(D234,Transco!B:E,4,FALSE),"")</f>
        <v/>
      </c>
      <c r="M234" s="7" t="str">
        <f>IFERROR(VLOOKUP(J234,Transco!B:E,4,FALSE),"")</f>
        <v/>
      </c>
      <c r="N234" s="7" t="str">
        <f>IFERROR(VLOOKUP(K234,Transco!B:E,4,FALSE),"")</f>
        <v/>
      </c>
      <c r="O234" s="85" t="s">
        <v>3047</v>
      </c>
      <c r="P234" s="81">
        <f>INDEX(Liste[],$E$2,175)</f>
        <v>0</v>
      </c>
    </row>
    <row r="235" spans="2:16" x14ac:dyDescent="0.2">
      <c r="B235" s="39" t="s">
        <v>1700</v>
      </c>
      <c r="C235" s="40"/>
      <c r="D235" s="41" t="s">
        <v>689</v>
      </c>
      <c r="E235" s="57">
        <f>INDEX(Liste[],$E$2,297)</f>
        <v>0</v>
      </c>
      <c r="F235" s="71">
        <f>INDEX(Liste[],$E$2,297)</f>
        <v>0</v>
      </c>
      <c r="G235" s="71">
        <f>INDEX(Liste[],$E$2,298)</f>
        <v>0</v>
      </c>
      <c r="I235" s="7" t="str">
        <f t="shared" si="18"/>
        <v>ED</v>
      </c>
      <c r="J235" s="7" t="str">
        <f t="shared" si="16"/>
        <v>ED</v>
      </c>
      <c r="K235" s="7" t="str">
        <f>D235&amp;"(N1)"</f>
        <v>ED(N1)</v>
      </c>
      <c r="L235" s="163" t="str">
        <f>IFERROR(VLOOKUP(D235,Transco!B:E,4,FALSE),"")</f>
        <v>=INDEX(Liste;$E$2;297)</v>
      </c>
      <c r="M235" s="7" t="str">
        <f>IFERROR(VLOOKUP(J235,Transco!B:E,4,FALSE),"")</f>
        <v>=INDEX(Liste;$E$2;297)</v>
      </c>
      <c r="N235" s="7" t="str">
        <f>IFERROR(VLOOKUP(K235,Transco!B:E,4,FALSE),"")</f>
        <v>=INDEX(Liste;$E$2;298)</v>
      </c>
      <c r="O235" s="85" t="s">
        <v>3048</v>
      </c>
      <c r="P235" s="81">
        <f>INDEX(Liste[],$E$2,176)</f>
        <v>0</v>
      </c>
    </row>
    <row r="236" spans="2:16" x14ac:dyDescent="0.2">
      <c r="B236" s="38"/>
      <c r="C236" s="38"/>
      <c r="D236" s="103"/>
      <c r="E236" s="103"/>
      <c r="I236" s="7">
        <f t="shared" si="18"/>
        <v>0</v>
      </c>
      <c r="J236" s="7">
        <f t="shared" si="16"/>
        <v>0</v>
      </c>
      <c r="L236" s="163" t="str">
        <f>IFERROR(VLOOKUP(D236,Transco!B:E,4,FALSE),"")</f>
        <v/>
      </c>
      <c r="M236" s="7" t="str">
        <f>IFERROR(VLOOKUP(J236,Transco!B:E,4,FALSE),"")</f>
        <v/>
      </c>
      <c r="N236" s="7" t="str">
        <f>IFERROR(VLOOKUP(K236,Transco!B:E,4,FALSE),"")</f>
        <v/>
      </c>
      <c r="O236" s="85" t="s">
        <v>3049</v>
      </c>
      <c r="P236" s="81">
        <f>INDEX(Liste[],$E$2,177)</f>
        <v>0</v>
      </c>
    </row>
    <row r="237" spans="2:16" ht="13.5" thickBot="1" x14ac:dyDescent="0.25">
      <c r="B237" s="111" t="s">
        <v>1701</v>
      </c>
      <c r="C237" s="112"/>
      <c r="D237" s="113" t="s">
        <v>763</v>
      </c>
      <c r="E237" s="130">
        <f>INDEX(Liste[],$E$2,379)</f>
        <v>67199000</v>
      </c>
      <c r="F237" s="134">
        <f>INDEX(Liste[],$E$2,379)</f>
        <v>67199000</v>
      </c>
      <c r="G237" s="134">
        <f>INDEX(Liste[],$E$2,380)</f>
        <v>66631000</v>
      </c>
      <c r="I237" s="7" t="str">
        <f t="shared" si="18"/>
        <v>EE</v>
      </c>
      <c r="J237" s="7" t="str">
        <f t="shared" si="16"/>
        <v>EE</v>
      </c>
      <c r="K237" s="7" t="str">
        <f>D237&amp;"(N1)"</f>
        <v>EE(N1)</v>
      </c>
      <c r="L237" s="163" t="str">
        <f>IFERROR(VLOOKUP(D237,Transco!B:E,4,FALSE),"")</f>
        <v>=INDEX(Liste;$E$2;379)</v>
      </c>
      <c r="M237" s="7" t="str">
        <f>IFERROR(VLOOKUP(J237,Transco!B:E,4,FALSE),"")</f>
        <v>=INDEX(Liste;$E$2;379)</v>
      </c>
      <c r="N237" s="7" t="str">
        <f>IFERROR(VLOOKUP(K237,Transco!B:E,4,FALSE),"")</f>
        <v>=INDEX(Liste;$E$2;380)</v>
      </c>
      <c r="O237" s="85" t="s">
        <v>3050</v>
      </c>
      <c r="P237" s="7">
        <f>INDEX(Liste[],$E$2,178)</f>
        <v>0</v>
      </c>
    </row>
    <row r="238" spans="2:16" x14ac:dyDescent="0.2">
      <c r="B238" s="59"/>
      <c r="C238" s="59"/>
      <c r="D238" s="59"/>
      <c r="E238" s="60"/>
      <c r="F238" s="72"/>
      <c r="G238" s="72">
        <f>INDEX(Liste[],$E$2,302)</f>
        <v>0</v>
      </c>
      <c r="I238" s="7">
        <f t="shared" si="18"/>
        <v>0</v>
      </c>
      <c r="J238" s="7">
        <f t="shared" si="16"/>
        <v>0</v>
      </c>
      <c r="L238" s="163" t="str">
        <f>IFERROR(VLOOKUP(D238,Transco!B:E,4,FALSE),"")</f>
        <v/>
      </c>
      <c r="M238" s="7" t="str">
        <f>IFERROR(VLOOKUP(J238,Transco!B:E,4,FALSE),"")</f>
        <v/>
      </c>
      <c r="N238" s="7" t="str">
        <f>IFERROR(VLOOKUP(K238,Transco!B:E,4,FALSE),"")</f>
        <v/>
      </c>
      <c r="O238" s="85" t="s">
        <v>3051</v>
      </c>
      <c r="P238" s="7">
        <f>INDEX(Liste[],$E$2,179)</f>
        <v>0</v>
      </c>
    </row>
    <row r="239" spans="2:16" x14ac:dyDescent="0.2">
      <c r="I239" s="7">
        <f t="shared" si="18"/>
        <v>0</v>
      </c>
      <c r="J239" s="7">
        <f t="shared" si="16"/>
        <v>0</v>
      </c>
      <c r="L239" s="163" t="str">
        <f>IFERROR(VLOOKUP(D239,Transco!B:E,4,FALSE),"")</f>
        <v/>
      </c>
      <c r="M239" s="7" t="str">
        <f>IFERROR(VLOOKUP(J239,Transco!B:E,4,FALSE),"")</f>
        <v/>
      </c>
      <c r="N239" s="7" t="str">
        <f>IFERROR(VLOOKUP(K239,Transco!B:E,4,FALSE),"")</f>
        <v/>
      </c>
      <c r="O239" s="85" t="s">
        <v>3052</v>
      </c>
      <c r="P239" s="7">
        <f>INDEX(Liste[],$E$2,180)</f>
        <v>0</v>
      </c>
    </row>
    <row r="240" spans="2:16" x14ac:dyDescent="0.2">
      <c r="B240" s="105" t="s">
        <v>1702</v>
      </c>
      <c r="C240" s="38"/>
      <c r="D240" s="103"/>
      <c r="E240" s="103"/>
      <c r="I240" s="7">
        <f t="shared" si="18"/>
        <v>0</v>
      </c>
      <c r="J240" s="7">
        <f t="shared" si="16"/>
        <v>0</v>
      </c>
      <c r="L240" s="163" t="str">
        <f>IFERROR(VLOOKUP(D240,Transco!B:E,4,FALSE),"")</f>
        <v/>
      </c>
      <c r="M240" s="7" t="str">
        <f>IFERROR(VLOOKUP(J240,Transco!B:E,4,FALSE),"")</f>
        <v/>
      </c>
      <c r="N240" s="7" t="str">
        <f>IFERROR(VLOOKUP(K240,Transco!B:E,4,FALSE),"")</f>
        <v/>
      </c>
      <c r="O240" s="85" t="s">
        <v>3053</v>
      </c>
      <c r="P240" s="7">
        <f>INDEX(Liste[],$E$2,181)</f>
        <v>0</v>
      </c>
    </row>
    <row r="241" spans="2:16" x14ac:dyDescent="0.2">
      <c r="B241" s="38"/>
      <c r="C241" s="38"/>
      <c r="D241" s="103"/>
      <c r="E241" s="103"/>
      <c r="I241" s="7">
        <f t="shared" si="18"/>
        <v>0</v>
      </c>
      <c r="J241" s="7">
        <f t="shared" si="16"/>
        <v>0</v>
      </c>
      <c r="L241" s="163" t="str">
        <f>IFERROR(VLOOKUP(D241,Transco!B:E,4,FALSE),"")</f>
        <v/>
      </c>
      <c r="M241" s="7" t="str">
        <f>IFERROR(VLOOKUP(J241,Transco!B:E,4,FALSE),"")</f>
        <v/>
      </c>
      <c r="N241" s="7" t="str">
        <f>IFERROR(VLOOKUP(K241,Transco!B:E,4,FALSE),"")</f>
        <v/>
      </c>
      <c r="O241" s="85" t="s">
        <v>3054</v>
      </c>
      <c r="P241" s="7">
        <f>INDEX(Liste[],$E$2,182)</f>
        <v>0</v>
      </c>
    </row>
    <row r="242" spans="2:16" x14ac:dyDescent="0.2">
      <c r="B242" s="39" t="s">
        <v>1703</v>
      </c>
      <c r="C242" s="40"/>
      <c r="D242" s="41" t="s">
        <v>1704</v>
      </c>
      <c r="E242" s="57"/>
      <c r="F242" s="57"/>
      <c r="G242" s="57"/>
      <c r="I242" s="7" t="str">
        <f t="shared" si="18"/>
        <v>1B</v>
      </c>
      <c r="J242" s="7" t="str">
        <f t="shared" si="16"/>
        <v>1B</v>
      </c>
      <c r="K242" s="7" t="str">
        <f t="shared" ref="K242:K250" si="20">D242&amp;"(N1)"</f>
        <v>1B(N1)</v>
      </c>
      <c r="L242" s="163" t="str">
        <f>IFERROR(VLOOKUP(D242,Transco!B:E,4,FALSE),"")</f>
        <v/>
      </c>
      <c r="M242" s="7" t="str">
        <f>IFERROR(VLOOKUP(J242,Transco!B:E,4,FALSE),"")</f>
        <v/>
      </c>
      <c r="N242" s="7" t="str">
        <f>IFERROR(VLOOKUP(K242,Transco!B:E,4,FALSE),"")</f>
        <v/>
      </c>
      <c r="O242" s="85" t="s">
        <v>3055</v>
      </c>
      <c r="P242" s="7">
        <f>INDEX(Liste[],$E$2,183)</f>
        <v>0</v>
      </c>
    </row>
    <row r="243" spans="2:16" x14ac:dyDescent="0.2">
      <c r="B243" s="39" t="s">
        <v>1705</v>
      </c>
      <c r="C243" s="40"/>
      <c r="D243" s="41" t="s">
        <v>1706</v>
      </c>
      <c r="E243" s="57"/>
      <c r="F243" s="57"/>
      <c r="G243" s="57"/>
      <c r="I243" s="7" t="str">
        <f t="shared" si="18"/>
        <v>1C</v>
      </c>
      <c r="J243" s="7" t="str">
        <f t="shared" si="16"/>
        <v>1C</v>
      </c>
      <c r="K243" s="7" t="str">
        <f t="shared" si="20"/>
        <v>1C(N1)</v>
      </c>
      <c r="L243" s="163" t="str">
        <f>IFERROR(VLOOKUP(D243,Transco!B:E,4,FALSE),"")</f>
        <v/>
      </c>
      <c r="M243" s="7" t="str">
        <f>IFERROR(VLOOKUP(J243,Transco!B:E,4,FALSE),"")</f>
        <v/>
      </c>
      <c r="N243" s="7" t="str">
        <f>IFERROR(VLOOKUP(K243,Transco!B:E,4,FALSE),"")</f>
        <v/>
      </c>
      <c r="O243" s="82" t="s">
        <v>3056</v>
      </c>
    </row>
    <row r="244" spans="2:16" x14ac:dyDescent="0.2">
      <c r="B244" s="39" t="s">
        <v>1707</v>
      </c>
      <c r="C244" s="40"/>
      <c r="D244" s="41" t="s">
        <v>1708</v>
      </c>
      <c r="E244" s="57"/>
      <c r="F244" s="57"/>
      <c r="G244" s="57"/>
      <c r="I244" s="7" t="str">
        <f t="shared" si="18"/>
        <v>1D</v>
      </c>
      <c r="J244" s="7" t="str">
        <f t="shared" si="16"/>
        <v>1D</v>
      </c>
      <c r="K244" s="7" t="str">
        <f t="shared" si="20"/>
        <v>1D(N1)</v>
      </c>
      <c r="L244" s="163" t="str">
        <f>IFERROR(VLOOKUP(D244,Transco!B:E,4,FALSE),"")</f>
        <v/>
      </c>
      <c r="M244" s="7" t="str">
        <f>IFERROR(VLOOKUP(J244,Transco!B:E,4,FALSE),"")</f>
        <v/>
      </c>
      <c r="N244" s="7" t="str">
        <f>IFERROR(VLOOKUP(K244,Transco!B:E,4,FALSE),"")</f>
        <v/>
      </c>
      <c r="O244" s="82" t="s">
        <v>3057</v>
      </c>
    </row>
    <row r="245" spans="2:16" x14ac:dyDescent="0.2">
      <c r="B245" s="39" t="s">
        <v>1709</v>
      </c>
      <c r="C245" s="40"/>
      <c r="D245" s="41" t="s">
        <v>1710</v>
      </c>
      <c r="E245" s="57"/>
      <c r="F245" s="57"/>
      <c r="G245" s="57"/>
      <c r="I245" s="7" t="str">
        <f t="shared" si="18"/>
        <v>1E</v>
      </c>
      <c r="J245" s="7" t="str">
        <f t="shared" si="16"/>
        <v>1E</v>
      </c>
      <c r="K245" s="7" t="str">
        <f t="shared" si="20"/>
        <v>1E(N1)</v>
      </c>
      <c r="L245" s="163" t="str">
        <f>IFERROR(VLOOKUP(D245,Transco!B:E,4,FALSE),"")</f>
        <v/>
      </c>
      <c r="M245" s="7" t="str">
        <f>IFERROR(VLOOKUP(J245,Transco!B:E,4,FALSE),"")</f>
        <v/>
      </c>
      <c r="N245" s="7" t="str">
        <f>IFERROR(VLOOKUP(K245,Transco!B:E,4,FALSE),"")</f>
        <v/>
      </c>
      <c r="O245" s="82" t="s">
        <v>3058</v>
      </c>
    </row>
    <row r="246" spans="2:16" x14ac:dyDescent="0.2">
      <c r="B246" s="39" t="s">
        <v>1711</v>
      </c>
      <c r="C246" s="40"/>
      <c r="D246" s="41" t="s">
        <v>723</v>
      </c>
      <c r="E246" s="57">
        <f>INDEX(Liste[],$E$2,331)</f>
        <v>0</v>
      </c>
      <c r="F246" s="57">
        <f>INDEX(Liste[],$E$2,331)</f>
        <v>0</v>
      </c>
      <c r="G246" s="57">
        <f>INDEX(Liste[],$E$2,332)</f>
        <v>0</v>
      </c>
      <c r="I246" s="7" t="str">
        <f t="shared" si="18"/>
        <v>EF</v>
      </c>
      <c r="J246" s="7" t="str">
        <f t="shared" si="16"/>
        <v>EF</v>
      </c>
      <c r="K246" s="7" t="str">
        <f t="shared" si="20"/>
        <v>EF(N1)</v>
      </c>
      <c r="L246" s="163" t="str">
        <f>IFERROR(VLOOKUP(D246,Transco!B:E,4,FALSE),"")</f>
        <v>=INDEX(Liste;$E$2;331)</v>
      </c>
      <c r="M246" s="7" t="str">
        <f>IFERROR(VLOOKUP(J246,Transco!B:E,4,FALSE),"")</f>
        <v>=INDEX(Liste;$E$2;331)</v>
      </c>
      <c r="N246" s="7" t="str">
        <f>IFERROR(VLOOKUP(K246,Transco!B:E,4,FALSE),"")</f>
        <v>=INDEX(Liste;$E$2;332)</v>
      </c>
      <c r="O246" s="82" t="s">
        <v>3059</v>
      </c>
    </row>
    <row r="247" spans="2:16" x14ac:dyDescent="0.2">
      <c r="B247" s="39" t="s">
        <v>1712</v>
      </c>
      <c r="C247" s="40"/>
      <c r="D247" s="41" t="s">
        <v>1713</v>
      </c>
      <c r="E247" s="57"/>
      <c r="F247" s="57"/>
      <c r="G247" s="57"/>
      <c r="I247" s="7" t="str">
        <f t="shared" si="18"/>
        <v>EJ</v>
      </c>
      <c r="J247" s="7" t="str">
        <f t="shared" ref="J247:J310" si="21">D247</f>
        <v>EJ</v>
      </c>
      <c r="K247" s="7" t="str">
        <f t="shared" si="20"/>
        <v>EJ(N1)</v>
      </c>
      <c r="L247" s="163" t="str">
        <f>IFERROR(VLOOKUP(D247,Transco!B:E,4,FALSE),"")</f>
        <v/>
      </c>
      <c r="M247" s="7" t="str">
        <f>IFERROR(VLOOKUP(J247,Transco!B:E,4,FALSE),"")</f>
        <v/>
      </c>
      <c r="N247" s="7" t="str">
        <f>IFERROR(VLOOKUP(K247,Transco!B:E,4,FALSE),"")</f>
        <v/>
      </c>
      <c r="O247" s="82" t="s">
        <v>3060</v>
      </c>
    </row>
    <row r="248" spans="2:16" x14ac:dyDescent="0.2">
      <c r="B248" s="39" t="s">
        <v>1714</v>
      </c>
      <c r="C248" s="40"/>
      <c r="D248" s="41" t="s">
        <v>711</v>
      </c>
      <c r="E248" s="57">
        <f>INDEX(Liste[],$E$2,319)</f>
        <v>0</v>
      </c>
      <c r="F248" s="57">
        <f>INDEX(Liste[],$E$2,319)</f>
        <v>0</v>
      </c>
      <c r="G248" s="57">
        <f>INDEX(Liste[],$E$2,320)</f>
        <v>0</v>
      </c>
      <c r="I248" s="7" t="str">
        <f t="shared" si="18"/>
        <v>EG</v>
      </c>
      <c r="J248" s="7" t="str">
        <f t="shared" si="21"/>
        <v>EG</v>
      </c>
      <c r="K248" s="7" t="str">
        <f t="shared" si="20"/>
        <v>EG(N1)</v>
      </c>
      <c r="L248" s="163" t="str">
        <f>IFERROR(VLOOKUP(D248,Transco!B:E,4,FALSE),"")</f>
        <v>=INDEX(Liste;$E$2;319)</v>
      </c>
      <c r="M248" s="7" t="str">
        <f>IFERROR(VLOOKUP(J248,Transco!B:E,4,FALSE),"")</f>
        <v>=INDEX(Liste;$E$2;319)</v>
      </c>
      <c r="N248" s="7" t="str">
        <f>IFERROR(VLOOKUP(K248,Transco!B:E,4,FALSE),"")</f>
        <v>=INDEX(Liste;$E$2;320)</v>
      </c>
      <c r="O248" s="82" t="s">
        <v>3061</v>
      </c>
    </row>
    <row r="249" spans="2:16" x14ac:dyDescent="0.2">
      <c r="B249" s="39" t="s">
        <v>1715</v>
      </c>
      <c r="C249" s="40"/>
      <c r="D249" s="41" t="s">
        <v>719</v>
      </c>
      <c r="E249" s="57">
        <f>INDEX(Liste[],$E$2,327)</f>
        <v>0</v>
      </c>
      <c r="F249" s="57">
        <f>INDEX(Liste[],$E$2,327)</f>
        <v>0</v>
      </c>
      <c r="G249" s="57">
        <f>INDEX(Liste[],$E$2,328)</f>
        <v>0</v>
      </c>
      <c r="I249" s="7" t="str">
        <f t="shared" si="18"/>
        <v>EH</v>
      </c>
      <c r="J249" s="7" t="str">
        <f t="shared" si="21"/>
        <v>EH</v>
      </c>
      <c r="K249" s="7" t="str">
        <f t="shared" si="20"/>
        <v>EH(N1)</v>
      </c>
      <c r="L249" s="163" t="str">
        <f>IFERROR(VLOOKUP(D249,Transco!B:E,4,FALSE),"")</f>
        <v>=INDEX(Liste;$E$2;327)</v>
      </c>
      <c r="M249" s="7" t="str">
        <f>IFERROR(VLOOKUP(J249,Transco!B:E,4,FALSE),"")</f>
        <v>=INDEX(Liste;$E$2;327)</v>
      </c>
      <c r="N249" s="7" t="str">
        <f>IFERROR(VLOOKUP(K249,Transco!B:E,4,FALSE),"")</f>
        <v>=INDEX(Liste;$E$2;328)</v>
      </c>
      <c r="O249" s="82" t="s">
        <v>3062</v>
      </c>
    </row>
    <row r="250" spans="2:16" x14ac:dyDescent="0.2">
      <c r="B250" s="39" t="s">
        <v>1716</v>
      </c>
      <c r="C250" s="40"/>
      <c r="D250" s="41" t="s">
        <v>721</v>
      </c>
      <c r="E250" s="57">
        <f>INDEX(Liste[],$E$2,329)</f>
        <v>0</v>
      </c>
      <c r="F250" s="57">
        <f>INDEX(Liste[],$E$2,329)</f>
        <v>0</v>
      </c>
      <c r="G250" s="57">
        <f>INDEX(Liste[],$E$2,330)</f>
        <v>0</v>
      </c>
      <c r="I250" s="7" t="str">
        <f t="shared" si="18"/>
        <v>EI</v>
      </c>
      <c r="J250" s="7" t="str">
        <f t="shared" si="21"/>
        <v>EI</v>
      </c>
      <c r="K250" s="7" t="str">
        <f t="shared" si="20"/>
        <v>EI(N1)</v>
      </c>
      <c r="L250" s="163" t="str">
        <f>IFERROR(VLOOKUP(D250,Transco!B:E,4,FALSE),"")</f>
        <v>=INDEX(Liste;$E$2;329)</v>
      </c>
      <c r="M250" s="7" t="str">
        <f>IFERROR(VLOOKUP(J250,Transco!B:E,4,FALSE),"")</f>
        <v>=INDEX(Liste;$E$2;329)</v>
      </c>
      <c r="N250" s="7" t="str">
        <f>IFERROR(VLOOKUP(K250,Transco!B:E,4,FALSE),"")</f>
        <v>=INDEX(Liste;$E$2;330)</v>
      </c>
      <c r="O250" s="82" t="s">
        <v>3063</v>
      </c>
    </row>
    <row r="251" spans="2:16" x14ac:dyDescent="0.2">
      <c r="I251" s="7">
        <f t="shared" si="18"/>
        <v>0</v>
      </c>
      <c r="J251" s="7">
        <f t="shared" si="21"/>
        <v>0</v>
      </c>
      <c r="L251" s="163" t="str">
        <f>IFERROR(VLOOKUP(D251,Transco!B:E,4,FALSE),"")</f>
        <v/>
      </c>
      <c r="M251" s="7" t="str">
        <f>IFERROR(VLOOKUP(J251,Transco!B:E,4,FALSE),"")</f>
        <v/>
      </c>
      <c r="N251" s="7" t="str">
        <f>IFERROR(VLOOKUP(K251,Transco!B:E,4,FALSE),"")</f>
        <v/>
      </c>
      <c r="O251" s="82" t="s">
        <v>3064</v>
      </c>
    </row>
    <row r="252" spans="2:16" x14ac:dyDescent="0.2">
      <c r="I252" s="7">
        <f t="shared" si="18"/>
        <v>0</v>
      </c>
      <c r="J252" s="7">
        <f t="shared" si="21"/>
        <v>0</v>
      </c>
      <c r="L252" s="163" t="str">
        <f>IFERROR(VLOOKUP(D252,Transco!B:E,4,FALSE),"")</f>
        <v/>
      </c>
      <c r="M252" s="7" t="str">
        <f>IFERROR(VLOOKUP(J252,Transco!B:E,4,FALSE),"")</f>
        <v/>
      </c>
      <c r="N252" s="7" t="str">
        <f>IFERROR(VLOOKUP(K252,Transco!B:E,4,FALSE),"")</f>
        <v/>
      </c>
      <c r="O252" s="82" t="s">
        <v>3065</v>
      </c>
    </row>
    <row r="253" spans="2:16" x14ac:dyDescent="0.2">
      <c r="I253" s="7">
        <f t="shared" si="18"/>
        <v>0</v>
      </c>
      <c r="J253" s="7">
        <f t="shared" si="21"/>
        <v>0</v>
      </c>
      <c r="L253" s="163" t="str">
        <f>IFERROR(VLOOKUP(D253,Transco!B:E,4,FALSE),"")</f>
        <v/>
      </c>
      <c r="M253" s="7" t="str">
        <f>IFERROR(VLOOKUP(J253,Transco!B:E,4,FALSE),"")</f>
        <v/>
      </c>
      <c r="N253" s="7" t="str">
        <f>IFERROR(VLOOKUP(K253,Transco!B:E,4,FALSE),"")</f>
        <v/>
      </c>
      <c r="O253" s="82" t="s">
        <v>3066</v>
      </c>
    </row>
    <row r="254" spans="2:16" ht="13.5" thickBot="1" x14ac:dyDescent="0.25">
      <c r="I254" s="7">
        <f t="shared" si="18"/>
        <v>0</v>
      </c>
      <c r="J254" s="7">
        <f t="shared" si="21"/>
        <v>0</v>
      </c>
      <c r="L254" s="163" t="str">
        <f>IFERROR(VLOOKUP(D254,Transco!B:E,4,FALSE),"")</f>
        <v/>
      </c>
      <c r="M254" s="7" t="str">
        <f>IFERROR(VLOOKUP(J254,Transco!B:E,4,FALSE),"")</f>
        <v/>
      </c>
      <c r="N254" s="7" t="str">
        <f>IFERROR(VLOOKUP(K254,Transco!B:E,4,FALSE),"")</f>
        <v/>
      </c>
      <c r="O254" s="82" t="s">
        <v>3067</v>
      </c>
    </row>
    <row r="255" spans="2:16" ht="16.5" thickBot="1" x14ac:dyDescent="0.3">
      <c r="B255" s="135" t="s">
        <v>1717</v>
      </c>
      <c r="C255" s="45"/>
      <c r="D255" s="45"/>
      <c r="E255" s="58"/>
      <c r="F255" s="73"/>
      <c r="G255" s="73"/>
      <c r="I255" s="7">
        <f t="shared" si="18"/>
        <v>0</v>
      </c>
      <c r="J255" s="7">
        <f t="shared" si="21"/>
        <v>0</v>
      </c>
      <c r="L255" s="163" t="str">
        <f>IFERROR(VLOOKUP(D255,Transco!B:E,4,FALSE),"")</f>
        <v/>
      </c>
      <c r="M255" s="7" t="str">
        <f>IFERROR(VLOOKUP(J255,Transco!B:E,4,FALSE),"")</f>
        <v/>
      </c>
      <c r="N255" s="7" t="str">
        <f>IFERROR(VLOOKUP(K255,Transco!B:E,4,FALSE),"")</f>
        <v/>
      </c>
      <c r="O255" s="82" t="s">
        <v>3068</v>
      </c>
    </row>
    <row r="256" spans="2:16" x14ac:dyDescent="0.2">
      <c r="B256" s="37"/>
      <c r="C256" s="37"/>
      <c r="D256" s="136"/>
      <c r="E256" s="136"/>
      <c r="F256" s="137"/>
      <c r="G256" s="137"/>
      <c r="I256" s="7">
        <f t="shared" si="18"/>
        <v>0</v>
      </c>
      <c r="J256" s="7">
        <f t="shared" si="21"/>
        <v>0</v>
      </c>
      <c r="L256" s="163" t="str">
        <f>IFERROR(VLOOKUP(D256,Transco!B:E,4,FALSE),"")</f>
        <v/>
      </c>
      <c r="M256" s="7" t="str">
        <f>IFERROR(VLOOKUP(J256,Transco!B:E,4,FALSE),"")</f>
        <v/>
      </c>
      <c r="N256" s="7" t="str">
        <f>IFERROR(VLOOKUP(K256,Transco!B:E,4,FALSE),"")</f>
        <v/>
      </c>
      <c r="O256" s="82" t="s">
        <v>3069</v>
      </c>
    </row>
    <row r="257" spans="2:16" x14ac:dyDescent="0.2">
      <c r="B257" s="150" t="str">
        <f>B3</f>
        <v>RACE INDUSTRIES - comptes 2017</v>
      </c>
      <c r="C257" s="98"/>
      <c r="D257" s="99" t="s">
        <v>1594</v>
      </c>
      <c r="E257" s="155"/>
      <c r="F257" s="156"/>
      <c r="G257" s="56"/>
      <c r="I257" s="7" t="str">
        <f t="shared" si="18"/>
        <v>Date de cloture</v>
      </c>
      <c r="J257" s="7" t="str">
        <f t="shared" si="21"/>
        <v>Date de cloture</v>
      </c>
      <c r="K257" s="7" t="str">
        <f>D257&amp;"(N1)"</f>
        <v>Date de cloture(N1)</v>
      </c>
      <c r="L257" s="163" t="str">
        <f>IFERROR(VLOOKUP(D257,Transco!B:E,4,FALSE),"")</f>
        <v/>
      </c>
      <c r="M257" s="7" t="str">
        <f>IFERROR(VLOOKUP(J257,Transco!B:E,4,FALSE),"")</f>
        <v/>
      </c>
      <c r="N257" s="7" t="str">
        <f>IFERROR(VLOOKUP(K257,Transco!B:E,4,FALSE),"")</f>
        <v/>
      </c>
      <c r="O257" s="82" t="s">
        <v>3070</v>
      </c>
    </row>
    <row r="258" spans="2:16" ht="13.5" thickBot="1" x14ac:dyDescent="0.25">
      <c r="B258" s="151" t="str">
        <f>C5</f>
        <v>811337203</v>
      </c>
      <c r="C258" s="100"/>
      <c r="D258" s="99" t="s">
        <v>1595</v>
      </c>
      <c r="E258" s="157"/>
      <c r="F258" s="158"/>
      <c r="G258" s="69"/>
      <c r="I258" s="7" t="str">
        <f t="shared" si="18"/>
        <v>Durée d'exercice</v>
      </c>
      <c r="J258" s="7" t="str">
        <f t="shared" si="21"/>
        <v>Durée d'exercice</v>
      </c>
      <c r="K258" s="7" t="str">
        <f>D258&amp;"(N1)"</f>
        <v>Durée d'exercice(N1)</v>
      </c>
      <c r="L258" s="163" t="str">
        <f>IFERROR(VLOOKUP(D258,Transco!B:E,4,FALSE),"")</f>
        <v/>
      </c>
      <c r="M258" s="7" t="str">
        <f>IFERROR(VLOOKUP(J258,Transco!B:E,4,FALSE),"")</f>
        <v/>
      </c>
      <c r="N258" s="7" t="str">
        <f>IFERROR(VLOOKUP(K258,Transco!B:E,4,FALSE),"")</f>
        <v/>
      </c>
      <c r="O258" s="82" t="s">
        <v>3071</v>
      </c>
    </row>
    <row r="259" spans="2:16" x14ac:dyDescent="0.2">
      <c r="B259" s="37"/>
      <c r="C259" s="37"/>
      <c r="D259" s="136"/>
      <c r="E259" s="136"/>
      <c r="F259" s="137"/>
      <c r="G259" s="137"/>
      <c r="I259" s="7">
        <f t="shared" si="18"/>
        <v>0</v>
      </c>
      <c r="J259" s="7">
        <f t="shared" si="21"/>
        <v>0</v>
      </c>
      <c r="L259" s="163" t="str">
        <f>IFERROR(VLOOKUP(D259,Transco!B:E,4,FALSE),"")</f>
        <v/>
      </c>
      <c r="M259" s="7" t="str">
        <f>IFERROR(VLOOKUP(J259,Transco!B:E,4,FALSE),"")</f>
        <v/>
      </c>
      <c r="N259" s="7" t="str">
        <f>IFERROR(VLOOKUP(K259,Transco!B:E,4,FALSE),"")</f>
        <v/>
      </c>
      <c r="O259" s="82" t="s">
        <v>3072</v>
      </c>
    </row>
    <row r="260" spans="2:16" x14ac:dyDescent="0.2">
      <c r="B260" s="38" t="s">
        <v>1597</v>
      </c>
      <c r="C260" s="38"/>
      <c r="D260" s="103"/>
      <c r="E260" s="103"/>
      <c r="I260" s="7">
        <f t="shared" si="18"/>
        <v>0</v>
      </c>
      <c r="J260" s="7">
        <f t="shared" si="21"/>
        <v>0</v>
      </c>
      <c r="L260" s="163" t="str">
        <f>IFERROR(VLOOKUP(D260,Transco!B:E,4,FALSE),"")</f>
        <v/>
      </c>
      <c r="M260" s="7" t="str">
        <f>IFERROR(VLOOKUP(J260,Transco!B:E,4,FALSE),"")</f>
        <v/>
      </c>
      <c r="N260" s="7" t="str">
        <f>IFERROR(VLOOKUP(K260,Transco!B:E,4,FALSE),"")</f>
        <v/>
      </c>
      <c r="O260" s="82" t="s">
        <v>3073</v>
      </c>
    </row>
    <row r="261" spans="2:16" x14ac:dyDescent="0.2">
      <c r="B261" s="138" t="s">
        <v>1718</v>
      </c>
      <c r="C261" s="139"/>
      <c r="D261" s="140" t="s">
        <v>687</v>
      </c>
      <c r="E261" s="57">
        <f>INDEX(Liste[],$E$2,295)</f>
        <v>0</v>
      </c>
      <c r="F261" s="57">
        <f>INDEX(Liste[],$E$2,295)</f>
        <v>0</v>
      </c>
      <c r="G261" s="57">
        <f>INDEX(Liste[],$E$2,296)</f>
        <v>0</v>
      </c>
      <c r="I261" s="7" t="str">
        <f t="shared" si="18"/>
        <v>FC</v>
      </c>
      <c r="J261" s="7" t="str">
        <f t="shared" si="21"/>
        <v>FC</v>
      </c>
      <c r="K261" s="7" t="str">
        <f t="shared" ref="K261:K272" si="22">D261&amp;"(N1)"</f>
        <v>FC(N1)</v>
      </c>
      <c r="L261" s="163" t="str">
        <f>IFERROR(VLOOKUP(D261,Transco!B:E,4,FALSE),"")</f>
        <v>=INDEX(Liste;$E$2;295)</v>
      </c>
      <c r="M261" s="7" t="str">
        <f>IFERROR(VLOOKUP(J261,Transco!B:E,4,FALSE),"")</f>
        <v>=INDEX(Liste;$E$2;295)</v>
      </c>
      <c r="N261" s="7" t="str">
        <f>IFERROR(VLOOKUP(K261,Transco!B:E,4,FALSE),"")</f>
        <v>=INDEX(Liste;$E$2;296)</v>
      </c>
      <c r="O261" s="82" t="s">
        <v>3074</v>
      </c>
    </row>
    <row r="262" spans="2:16" x14ac:dyDescent="0.2">
      <c r="B262" s="39" t="s">
        <v>1719</v>
      </c>
      <c r="C262" s="40"/>
      <c r="D262" s="41" t="s">
        <v>686</v>
      </c>
      <c r="E262" s="57">
        <f>INDEX(Liste[],$E$2,294)</f>
        <v>0</v>
      </c>
      <c r="F262" s="57">
        <f>INDEX(Liste[],$E$2,294)</f>
        <v>0</v>
      </c>
      <c r="G262" s="57"/>
      <c r="I262" s="7" t="str">
        <f t="shared" si="18"/>
        <v>FA</v>
      </c>
      <c r="J262" s="7" t="str">
        <f t="shared" si="21"/>
        <v>FA</v>
      </c>
      <c r="K262" s="7" t="str">
        <f t="shared" si="22"/>
        <v>FA(N1)</v>
      </c>
      <c r="L262" s="163" t="str">
        <f>IFERROR(VLOOKUP(D262,Transco!B:E,4,FALSE),"")</f>
        <v>=INDEX(Liste;$E$2;294)</v>
      </c>
      <c r="M262" s="7" t="str">
        <f>IFERROR(VLOOKUP(J262,Transco!B:E,4,FALSE),"")</f>
        <v>=INDEX(Liste;$E$2;294)</v>
      </c>
      <c r="N262" s="7" t="str">
        <f>IFERROR(VLOOKUP(K262,Transco!B:E,4,FALSE),"")</f>
        <v/>
      </c>
      <c r="O262" s="82" t="s">
        <v>3075</v>
      </c>
    </row>
    <row r="263" spans="2:16" x14ac:dyDescent="0.2">
      <c r="B263" s="39" t="s">
        <v>1720</v>
      </c>
      <c r="C263" s="40"/>
      <c r="D263" s="41" t="s">
        <v>685</v>
      </c>
      <c r="E263" s="57">
        <f>INDEX(Liste[],$E$2,293)</f>
        <v>0</v>
      </c>
      <c r="F263" s="57">
        <f>INDEX(Liste[],$E$2,293)</f>
        <v>0</v>
      </c>
      <c r="G263" s="57"/>
      <c r="I263" s="7" t="str">
        <f t="shared" si="18"/>
        <v>FB</v>
      </c>
      <c r="J263" s="7" t="str">
        <f t="shared" si="21"/>
        <v>FB</v>
      </c>
      <c r="K263" s="7" t="str">
        <f t="shared" si="22"/>
        <v>FB(N1)</v>
      </c>
      <c r="L263" s="163" t="str">
        <f>IFERROR(VLOOKUP(D263,Transco!B:E,4,FALSE),"")</f>
        <v>=INDEX(Liste;$E$2;293)</v>
      </c>
      <c r="M263" s="7" t="str">
        <f>IFERROR(VLOOKUP(J263,Transco!B:E,4,FALSE),"")</f>
        <v>=INDEX(Liste;$E$2;293)</v>
      </c>
      <c r="N263" s="7" t="str">
        <f>IFERROR(VLOOKUP(K263,Transco!B:E,4,FALSE),"")</f>
        <v/>
      </c>
      <c r="O263" s="82" t="s">
        <v>3076</v>
      </c>
    </row>
    <row r="264" spans="2:16" x14ac:dyDescent="0.2">
      <c r="B264" s="138" t="s">
        <v>1721</v>
      </c>
      <c r="C264" s="139"/>
      <c r="D264" s="140" t="s">
        <v>679</v>
      </c>
      <c r="E264" s="57">
        <f>INDEX(Liste[],$E$2,287)</f>
        <v>0</v>
      </c>
      <c r="F264" s="57">
        <f>INDEX(Liste[],$E$2,287)</f>
        <v>0</v>
      </c>
      <c r="G264" s="57">
        <f>INDEX(Liste[],$E$2,288)</f>
        <v>0</v>
      </c>
      <c r="I264" s="7" t="str">
        <f t="shared" si="18"/>
        <v>FF</v>
      </c>
      <c r="J264" s="7" t="str">
        <f t="shared" si="21"/>
        <v>FF</v>
      </c>
      <c r="K264" s="7" t="str">
        <f t="shared" si="22"/>
        <v>FF(N1)</v>
      </c>
      <c r="L264" s="163" t="str">
        <f>IFERROR(VLOOKUP(D264,Transco!B:E,4,FALSE),"")</f>
        <v>=INDEX(Liste;$E$2;287)</v>
      </c>
      <c r="M264" s="7" t="str">
        <f>IFERROR(VLOOKUP(J264,Transco!B:E,4,FALSE),"")</f>
        <v>=INDEX(Liste;$E$2;287)</v>
      </c>
      <c r="N264" s="7" t="str">
        <f>IFERROR(VLOOKUP(K264,Transco!B:E,4,FALSE),"")</f>
        <v>=INDEX(Liste;$E$2;288)</v>
      </c>
      <c r="O264" s="82" t="s">
        <v>3077</v>
      </c>
    </row>
    <row r="265" spans="2:16" x14ac:dyDescent="0.2">
      <c r="B265" s="39" t="s">
        <v>1719</v>
      </c>
      <c r="C265" s="40"/>
      <c r="D265" s="41" t="s">
        <v>678</v>
      </c>
      <c r="E265" s="57">
        <f>INDEX(Liste[],$E$2,286)</f>
        <v>0</v>
      </c>
      <c r="F265" s="57">
        <f>INDEX(Liste[],$E$2,286)</f>
        <v>0</v>
      </c>
      <c r="G265" s="57"/>
      <c r="I265" s="7" t="str">
        <f t="shared" si="18"/>
        <v>FD</v>
      </c>
      <c r="J265" s="7" t="str">
        <f t="shared" si="21"/>
        <v>FD</v>
      </c>
      <c r="K265" s="7" t="str">
        <f t="shared" si="22"/>
        <v>FD(N1)</v>
      </c>
      <c r="L265" s="163" t="str">
        <f>IFERROR(VLOOKUP(D265,Transco!B:E,4,FALSE),"")</f>
        <v>=INDEX(Liste;$E$2;286)</v>
      </c>
      <c r="M265" s="7" t="str">
        <f>IFERROR(VLOOKUP(J265,Transco!B:E,4,FALSE),"")</f>
        <v>=INDEX(Liste;$E$2;286)</v>
      </c>
      <c r="N265" s="7" t="str">
        <f>IFERROR(VLOOKUP(K265,Transco!B:E,4,FALSE),"")</f>
        <v/>
      </c>
      <c r="O265" s="82" t="s">
        <v>3078</v>
      </c>
    </row>
    <row r="266" spans="2:16" x14ac:dyDescent="0.2">
      <c r="B266" s="39" t="s">
        <v>1720</v>
      </c>
      <c r="C266" s="40"/>
      <c r="D266" s="41" t="s">
        <v>677</v>
      </c>
      <c r="E266" s="57">
        <f>INDEX(Liste[],$E$2,285)</f>
        <v>0</v>
      </c>
      <c r="F266" s="57">
        <f>INDEX(Liste[],$E$2,285)</f>
        <v>0</v>
      </c>
      <c r="G266" s="57"/>
      <c r="I266" s="7" t="str">
        <f t="shared" si="18"/>
        <v>FE</v>
      </c>
      <c r="J266" s="7" t="str">
        <f t="shared" si="21"/>
        <v>FE</v>
      </c>
      <c r="K266" s="7" t="str">
        <f t="shared" si="22"/>
        <v>FE(N1)</v>
      </c>
      <c r="L266" s="163" t="str">
        <f>IFERROR(VLOOKUP(D266,Transco!B:E,4,FALSE),"")</f>
        <v>=INDEX(Liste;$E$2;285)</v>
      </c>
      <c r="M266" s="7" t="str">
        <f>IFERROR(VLOOKUP(J266,Transco!B:E,4,FALSE),"")</f>
        <v>=INDEX(Liste;$E$2;285)</v>
      </c>
      <c r="N266" s="7" t="str">
        <f>IFERROR(VLOOKUP(K266,Transco!B:E,4,FALSE),"")</f>
        <v/>
      </c>
      <c r="O266" s="82" t="s">
        <v>3079</v>
      </c>
    </row>
    <row r="267" spans="2:16" x14ac:dyDescent="0.2">
      <c r="B267" s="138" t="s">
        <v>1722</v>
      </c>
      <c r="C267" s="139"/>
      <c r="D267" s="140" t="s">
        <v>683</v>
      </c>
      <c r="E267" s="57">
        <f>INDEX(Liste[],$E$2,291)</f>
        <v>0</v>
      </c>
      <c r="F267" s="57">
        <f>INDEX(Liste[],$E$2,291)</f>
        <v>0</v>
      </c>
      <c r="G267" s="57">
        <f>INDEX(Liste[],$E$2,292)</f>
        <v>0</v>
      </c>
      <c r="I267" s="7" t="str">
        <f t="shared" si="18"/>
        <v>FI</v>
      </c>
      <c r="J267" s="7" t="str">
        <f t="shared" si="21"/>
        <v>FI</v>
      </c>
      <c r="K267" s="7" t="str">
        <f t="shared" si="22"/>
        <v>FI(N1)</v>
      </c>
      <c r="L267" s="163" t="str">
        <f>IFERROR(VLOOKUP(D267,Transco!B:E,4,FALSE),"")</f>
        <v>=INDEX(Liste;$E$2;291)</v>
      </c>
      <c r="M267" s="7" t="str">
        <f>IFERROR(VLOOKUP(J267,Transco!B:E,4,FALSE),"")</f>
        <v>=INDEX(Liste;$E$2;291)</v>
      </c>
      <c r="N267" s="7" t="str">
        <f>IFERROR(VLOOKUP(K267,Transco!B:E,4,FALSE),"")</f>
        <v>=INDEX(Liste;$E$2;292)</v>
      </c>
      <c r="O267" s="85" t="s">
        <v>3080</v>
      </c>
      <c r="P267" s="7">
        <f>INDEX(Liste[],$E$2,184)</f>
        <v>0</v>
      </c>
    </row>
    <row r="268" spans="2:16" x14ac:dyDescent="0.2">
      <c r="B268" s="39" t="s">
        <v>1719</v>
      </c>
      <c r="C268" s="40"/>
      <c r="D268" s="41" t="s">
        <v>682</v>
      </c>
      <c r="E268" s="57">
        <f>INDEX(Liste[],$E$2,290)</f>
        <v>0</v>
      </c>
      <c r="F268" s="57">
        <f>INDEX(Liste[],$E$2,290)</f>
        <v>0</v>
      </c>
      <c r="G268" s="57"/>
      <c r="I268" s="7" t="str">
        <f t="shared" si="18"/>
        <v>FG</v>
      </c>
      <c r="J268" s="7" t="str">
        <f t="shared" si="21"/>
        <v>FG</v>
      </c>
      <c r="K268" s="7" t="str">
        <f t="shared" si="22"/>
        <v>FG(N1)</v>
      </c>
      <c r="L268" s="163" t="str">
        <f>IFERROR(VLOOKUP(D268,Transco!B:E,4,FALSE),"")</f>
        <v>=INDEX(Liste;$E$2;290)</v>
      </c>
      <c r="M268" s="7" t="str">
        <f>IFERROR(VLOOKUP(J268,Transco!B:E,4,FALSE),"")</f>
        <v>=INDEX(Liste;$E$2;290)</v>
      </c>
      <c r="N268" s="7" t="str">
        <f>IFERROR(VLOOKUP(K268,Transco!B:E,4,FALSE),"")</f>
        <v/>
      </c>
      <c r="O268" s="85" t="s">
        <v>3081</v>
      </c>
      <c r="P268" s="7">
        <f>INDEX(Liste[],$E$2,185)</f>
        <v>0</v>
      </c>
    </row>
    <row r="269" spans="2:16" x14ac:dyDescent="0.2">
      <c r="B269" s="39" t="s">
        <v>1720</v>
      </c>
      <c r="C269" s="40"/>
      <c r="D269" s="41" t="s">
        <v>681</v>
      </c>
      <c r="E269" s="57">
        <f>INDEX(Liste[],$E$2,289)</f>
        <v>0</v>
      </c>
      <c r="F269" s="57">
        <f>INDEX(Liste[],$E$2,289)</f>
        <v>0</v>
      </c>
      <c r="G269" s="57"/>
      <c r="I269" s="7" t="str">
        <f t="shared" si="18"/>
        <v>FH</v>
      </c>
      <c r="J269" s="7" t="str">
        <f t="shared" si="21"/>
        <v>FH</v>
      </c>
      <c r="K269" s="7" t="str">
        <f t="shared" si="22"/>
        <v>FH(N1)</v>
      </c>
      <c r="L269" s="163" t="str">
        <f>IFERROR(VLOOKUP(D269,Transco!B:E,4,FALSE),"")</f>
        <v>=INDEX(Liste;$E$2;289)</v>
      </c>
      <c r="M269" s="7" t="str">
        <f>IFERROR(VLOOKUP(J269,Transco!B:E,4,FALSE),"")</f>
        <v>=INDEX(Liste;$E$2;289)</v>
      </c>
      <c r="N269" s="7" t="str">
        <f>IFERROR(VLOOKUP(K269,Transco!B:E,4,FALSE),"")</f>
        <v/>
      </c>
      <c r="O269" s="85" t="s">
        <v>3082</v>
      </c>
      <c r="P269" s="81">
        <f>INDEX(Liste[],$E$2,186)</f>
        <v>0</v>
      </c>
    </row>
    <row r="270" spans="2:16" x14ac:dyDescent="0.2">
      <c r="B270" s="111" t="s">
        <v>1723</v>
      </c>
      <c r="C270" s="112"/>
      <c r="D270" s="113" t="s">
        <v>675</v>
      </c>
      <c r="E270" s="130">
        <f>INDEX(Liste[],$E$2,283)</f>
        <v>44307000</v>
      </c>
      <c r="F270" s="134">
        <f>INDEX(Liste[],$E$2,283)</f>
        <v>44307000</v>
      </c>
      <c r="G270" s="134">
        <f>INDEX(Liste[],$E$2,284)</f>
        <v>38189000</v>
      </c>
      <c r="I270" s="7" t="str">
        <f t="shared" ref="I270:I333" si="23">D270</f>
        <v>FL</v>
      </c>
      <c r="J270" s="7" t="str">
        <f t="shared" si="21"/>
        <v>FL</v>
      </c>
      <c r="K270" s="7" t="str">
        <f t="shared" si="22"/>
        <v>FL(N1)</v>
      </c>
      <c r="L270" s="163" t="str">
        <f>IFERROR(VLOOKUP(D270,Transco!B:E,4,FALSE),"")</f>
        <v>=INDEX(Liste;$E$2;283)</v>
      </c>
      <c r="M270" s="7" t="str">
        <f>IFERROR(VLOOKUP(J270,Transco!B:E,4,FALSE),"")</f>
        <v>=INDEX(Liste;$E$2;283)</v>
      </c>
      <c r="N270" s="7" t="str">
        <f>IFERROR(VLOOKUP(K270,Transco!B:E,4,FALSE),"")</f>
        <v>=INDEX(Liste;$E$2;284)</v>
      </c>
      <c r="O270" s="85" t="s">
        <v>3083</v>
      </c>
      <c r="P270" s="7">
        <f>INDEX(Liste[],$E$2,187)</f>
        <v>0</v>
      </c>
    </row>
    <row r="271" spans="2:16" x14ac:dyDescent="0.2">
      <c r="B271" s="39" t="s">
        <v>1719</v>
      </c>
      <c r="C271" s="40"/>
      <c r="D271" s="41" t="s">
        <v>674</v>
      </c>
      <c r="E271" s="57">
        <f>INDEX(Liste[],$E$2,282)</f>
        <v>0</v>
      </c>
      <c r="F271" s="57">
        <f>INDEX(Liste[],$E$2,282)</f>
        <v>0</v>
      </c>
      <c r="G271" s="57"/>
      <c r="I271" s="7" t="str">
        <f t="shared" si="23"/>
        <v>FJ</v>
      </c>
      <c r="J271" s="7" t="str">
        <f t="shared" si="21"/>
        <v>FJ</v>
      </c>
      <c r="K271" s="7" t="str">
        <f t="shared" si="22"/>
        <v>FJ(N1)</v>
      </c>
      <c r="L271" s="163" t="str">
        <f>IFERROR(VLOOKUP(D271,Transco!B:E,4,FALSE),"")</f>
        <v>=INDEX(Liste;$E$2;282)</v>
      </c>
      <c r="M271" s="7" t="str">
        <f>IFERROR(VLOOKUP(J271,Transco!B:E,4,FALSE),"")</f>
        <v>=INDEX(Liste;$E$2;282)</v>
      </c>
      <c r="N271" s="7" t="str">
        <f>IFERROR(VLOOKUP(K271,Transco!B:E,4,FALSE),"")</f>
        <v/>
      </c>
      <c r="O271" s="85" t="s">
        <v>3084</v>
      </c>
      <c r="P271" s="7">
        <f>INDEX(Liste[],$E$2,188)</f>
        <v>0</v>
      </c>
    </row>
    <row r="272" spans="2:16" x14ac:dyDescent="0.2">
      <c r="B272" s="39" t="s">
        <v>1720</v>
      </c>
      <c r="C272" s="40"/>
      <c r="D272" s="41" t="s">
        <v>673</v>
      </c>
      <c r="E272" s="57">
        <f>INDEX(Liste[],$E$2,281)</f>
        <v>0</v>
      </c>
      <c r="F272" s="57">
        <f>INDEX(Liste[],$E$2,281)</f>
        <v>0</v>
      </c>
      <c r="G272" s="57"/>
      <c r="I272" s="7" t="str">
        <f t="shared" si="23"/>
        <v>FK</v>
      </c>
      <c r="J272" s="7" t="str">
        <f t="shared" si="21"/>
        <v>FK</v>
      </c>
      <c r="K272" s="7" t="str">
        <f t="shared" si="22"/>
        <v>FK(N1)</v>
      </c>
      <c r="L272" s="163" t="str">
        <f>IFERROR(VLOOKUP(D272,Transco!B:E,4,FALSE),"")</f>
        <v>=INDEX(Liste;$E$2;281)</v>
      </c>
      <c r="M272" s="7" t="str">
        <f>IFERROR(VLOOKUP(J272,Transco!B:E,4,FALSE),"")</f>
        <v>=INDEX(Liste;$E$2;281)</v>
      </c>
      <c r="N272" s="7" t="str">
        <f>IFERROR(VLOOKUP(K272,Transco!B:E,4,FALSE),"")</f>
        <v/>
      </c>
      <c r="O272" s="85" t="s">
        <v>250</v>
      </c>
      <c r="P272" s="7">
        <f>INDEX(Liste[],$E$2,189)</f>
        <v>0</v>
      </c>
    </row>
    <row r="273" spans="2:16" x14ac:dyDescent="0.2">
      <c r="B273" s="38"/>
      <c r="C273" s="38"/>
      <c r="D273" s="103"/>
      <c r="E273" s="57"/>
      <c r="F273" s="57"/>
      <c r="G273" s="57"/>
      <c r="I273" s="7">
        <f t="shared" si="23"/>
        <v>0</v>
      </c>
      <c r="J273" s="7">
        <f t="shared" si="21"/>
        <v>0</v>
      </c>
      <c r="L273" s="163" t="str">
        <f>IFERROR(VLOOKUP(D273,Transco!B:E,4,FALSE),"")</f>
        <v/>
      </c>
      <c r="M273" s="7" t="str">
        <f>IFERROR(VLOOKUP(J273,Transco!B:E,4,FALSE),"")</f>
        <v/>
      </c>
      <c r="N273" s="7" t="str">
        <f>IFERROR(VLOOKUP(K273,Transco!B:E,4,FALSE),"")</f>
        <v/>
      </c>
      <c r="O273" s="85" t="s">
        <v>251</v>
      </c>
      <c r="P273" s="7">
        <f>INDEX(Liste[],$E$2,190)</f>
        <v>0</v>
      </c>
    </row>
    <row r="274" spans="2:16" x14ac:dyDescent="0.2">
      <c r="B274" s="39" t="s">
        <v>1724</v>
      </c>
      <c r="C274" s="40"/>
      <c r="D274" s="41" t="s">
        <v>639</v>
      </c>
      <c r="E274" s="57">
        <f>INDEX(Liste[],$E$2,247)</f>
        <v>0</v>
      </c>
      <c r="F274" s="57">
        <f>INDEX(Liste[],$E$2,247)</f>
        <v>0</v>
      </c>
      <c r="G274" s="57">
        <f>INDEX(Liste[],$E$2,248)</f>
        <v>0</v>
      </c>
      <c r="I274" s="7" t="str">
        <f t="shared" si="23"/>
        <v>FM</v>
      </c>
      <c r="J274" s="7" t="str">
        <f t="shared" si="21"/>
        <v>FM</v>
      </c>
      <c r="K274" s="7" t="str">
        <f>D274&amp;"(N1)"</f>
        <v>FM(N1)</v>
      </c>
      <c r="L274" s="163" t="str">
        <f>IFERROR(VLOOKUP(D274,Transco!B:E,4,FALSE),"")</f>
        <v>=INDEX(Liste;$E$2;247)</v>
      </c>
      <c r="M274" s="7" t="str">
        <f>IFERROR(VLOOKUP(J274,Transco!B:E,4,FALSE),"")</f>
        <v>=INDEX(Liste;$E$2;247)</v>
      </c>
      <c r="N274" s="7" t="str">
        <f>IFERROR(VLOOKUP(K274,Transco!B:E,4,FALSE),"")</f>
        <v>=INDEX(Liste;$E$2;248)</v>
      </c>
      <c r="O274" s="85" t="s">
        <v>3085</v>
      </c>
      <c r="P274" s="7">
        <f>INDEX(Liste[],$E$2,191)</f>
        <v>0</v>
      </c>
    </row>
    <row r="275" spans="2:16" x14ac:dyDescent="0.2">
      <c r="B275" s="39" t="s">
        <v>1725</v>
      </c>
      <c r="C275" s="40"/>
      <c r="D275" s="41" t="s">
        <v>637</v>
      </c>
      <c r="E275" s="57">
        <f>INDEX(Liste[],$E$2,245)</f>
        <v>0</v>
      </c>
      <c r="F275" s="57">
        <f>INDEX(Liste[],$E$2,245)</f>
        <v>0</v>
      </c>
      <c r="G275" s="57">
        <f>INDEX(Liste[],$E$2,246)</f>
        <v>0</v>
      </c>
      <c r="I275" s="7" t="str">
        <f t="shared" si="23"/>
        <v>FN</v>
      </c>
      <c r="J275" s="7" t="str">
        <f t="shared" si="21"/>
        <v>FN</v>
      </c>
      <c r="K275" s="7" t="str">
        <f>D275&amp;"(N1)"</f>
        <v>FN(N1)</v>
      </c>
      <c r="L275" s="163" t="str">
        <f>IFERROR(VLOOKUP(D275,Transco!B:E,4,FALSE),"")</f>
        <v>=INDEX(Liste;$E$2;245)</v>
      </c>
      <c r="M275" s="7" t="str">
        <f>IFERROR(VLOOKUP(J275,Transco!B:E,4,FALSE),"")</f>
        <v>=INDEX(Liste;$E$2;245)</v>
      </c>
      <c r="N275" s="7" t="str">
        <f>IFERROR(VLOOKUP(K275,Transco!B:E,4,FALSE),"")</f>
        <v>=INDEX(Liste;$E$2;246)</v>
      </c>
      <c r="O275" s="85" t="s">
        <v>3086</v>
      </c>
      <c r="P275" s="7">
        <f>INDEX(Liste[],$E$2,192)</f>
        <v>0</v>
      </c>
    </row>
    <row r="276" spans="2:16" x14ac:dyDescent="0.2">
      <c r="B276" s="39" t="s">
        <v>1726</v>
      </c>
      <c r="C276" s="40"/>
      <c r="D276" s="41" t="s">
        <v>1727</v>
      </c>
      <c r="E276" s="57">
        <f>INDEX(Liste[],$E$2,267)</f>
        <v>0</v>
      </c>
      <c r="F276" s="57">
        <f>INDEX(Liste[],$E$2,267)</f>
        <v>0</v>
      </c>
      <c r="G276" s="57">
        <f>INDEX(Liste[],$E$2,268)</f>
        <v>0</v>
      </c>
      <c r="I276" s="7" t="str">
        <f t="shared" si="23"/>
        <v>FO</v>
      </c>
      <c r="J276" s="7" t="str">
        <f t="shared" si="21"/>
        <v>FO</v>
      </c>
      <c r="K276" s="7" t="str">
        <f>D276&amp;"(N1)"</f>
        <v>FO(N1)</v>
      </c>
      <c r="L276" s="163" t="str">
        <f>IFERROR(VLOOKUP(D276,Transco!B:E,4,FALSE),"")</f>
        <v>=INDEX(Liste;$E$2;267)</v>
      </c>
      <c r="M276" s="7" t="str">
        <f>IFERROR(VLOOKUP(J276,Transco!B:E,4,FALSE),"")</f>
        <v>=INDEX(Liste;$E$2;267)</v>
      </c>
      <c r="N276" s="7" t="str">
        <f>IFERROR(VLOOKUP(K276,Transco!B:E,4,FALSE),"")</f>
        <v>=INDEX(Liste;$E$2;268)</v>
      </c>
      <c r="O276" s="85" t="s">
        <v>252</v>
      </c>
      <c r="P276" s="7">
        <f>INDEX(Liste[],$E$2,193)</f>
        <v>0</v>
      </c>
    </row>
    <row r="277" spans="2:16" x14ac:dyDescent="0.2">
      <c r="B277" s="39" t="s">
        <v>1728</v>
      </c>
      <c r="C277" s="40"/>
      <c r="D277" s="41" t="s">
        <v>653</v>
      </c>
      <c r="E277" s="57">
        <f>INDEX(Liste[],$E$2,261)</f>
        <v>0</v>
      </c>
      <c r="F277" s="57">
        <f>INDEX(Liste[],$E$2,261)</f>
        <v>0</v>
      </c>
      <c r="G277" s="57">
        <f>INDEX(Liste[],$E$2,262)</f>
        <v>0</v>
      </c>
      <c r="I277" s="7" t="str">
        <f t="shared" si="23"/>
        <v>FP</v>
      </c>
      <c r="J277" s="7" t="str">
        <f t="shared" si="21"/>
        <v>FP</v>
      </c>
      <c r="K277" s="7" t="str">
        <f>D277&amp;"(N1)"</f>
        <v>FP(N1)</v>
      </c>
      <c r="L277" s="163" t="str">
        <f>IFERROR(VLOOKUP(D277,Transco!B:E,4,FALSE),"")</f>
        <v>=INDEX(Liste;$E$2;261)</v>
      </c>
      <c r="M277" s="7" t="str">
        <f>IFERROR(VLOOKUP(J277,Transco!B:E,4,FALSE),"")</f>
        <v>=INDEX(Liste;$E$2;261)</v>
      </c>
      <c r="N277" s="7" t="str">
        <f>IFERROR(VLOOKUP(K277,Transco!B:E,4,FALSE),"")</f>
        <v>=INDEX(Liste;$E$2;262)</v>
      </c>
      <c r="O277" s="85" t="s">
        <v>253</v>
      </c>
      <c r="P277" s="7">
        <f>INDEX(Liste[],$E$2,194)</f>
        <v>0</v>
      </c>
    </row>
    <row r="278" spans="2:16" x14ac:dyDescent="0.2">
      <c r="B278" s="39" t="s">
        <v>1729</v>
      </c>
      <c r="C278" s="40"/>
      <c r="D278" s="41" t="s">
        <v>609</v>
      </c>
      <c r="E278" s="57">
        <f>INDEX(Liste[],$E$2,217)</f>
        <v>173000</v>
      </c>
      <c r="F278" s="57">
        <f>INDEX(Liste[],$E$2,217)</f>
        <v>173000</v>
      </c>
      <c r="G278" s="57">
        <f>INDEX(Liste[],$E$2,218)</f>
        <v>219000</v>
      </c>
      <c r="I278" s="7" t="str">
        <f t="shared" si="23"/>
        <v>FQ</v>
      </c>
      <c r="J278" s="7" t="str">
        <f t="shared" si="21"/>
        <v>FQ</v>
      </c>
      <c r="K278" s="7" t="str">
        <f>D278&amp;"(N1)"</f>
        <v>FQ(N1)</v>
      </c>
      <c r="L278" s="163" t="str">
        <f>IFERROR(VLOOKUP(D278,Transco!B:E,4,FALSE),"")</f>
        <v>=INDEX(Liste;$E$2;217)</v>
      </c>
      <c r="M278" s="7" t="str">
        <f>IFERROR(VLOOKUP(J278,Transco!B:E,4,FALSE),"")</f>
        <v>=INDEX(Liste;$E$2;217)</v>
      </c>
      <c r="N278" s="7" t="str">
        <f>IFERROR(VLOOKUP(K278,Transco!B:E,4,FALSE),"")</f>
        <v>=INDEX(Liste;$E$2;218)</v>
      </c>
      <c r="O278" s="85" t="s">
        <v>254</v>
      </c>
      <c r="P278" s="7">
        <f>INDEX(Liste[],$E$2,195)</f>
        <v>4778000</v>
      </c>
    </row>
    <row r="279" spans="2:16" x14ac:dyDescent="0.2">
      <c r="B279" s="38"/>
      <c r="C279" s="38"/>
      <c r="D279" s="103"/>
      <c r="E279" s="57"/>
      <c r="F279" s="57"/>
      <c r="G279" s="57"/>
      <c r="I279" s="7">
        <f t="shared" si="23"/>
        <v>0</v>
      </c>
      <c r="J279" s="7">
        <f t="shared" si="21"/>
        <v>0</v>
      </c>
      <c r="L279" s="163" t="str">
        <f>IFERROR(VLOOKUP(D279,Transco!B:E,4,FALSE),"")</f>
        <v/>
      </c>
      <c r="M279" s="7" t="str">
        <f>IFERROR(VLOOKUP(J279,Transco!B:E,4,FALSE),"")</f>
        <v/>
      </c>
      <c r="N279" s="7" t="str">
        <f>IFERROR(VLOOKUP(K279,Transco!B:E,4,FALSE),"")</f>
        <v/>
      </c>
      <c r="O279" s="85" t="s">
        <v>255</v>
      </c>
      <c r="P279" s="7">
        <f>INDEX(Liste[],$E$2,196)</f>
        <v>3671000</v>
      </c>
    </row>
    <row r="280" spans="2:16" x14ac:dyDescent="0.2">
      <c r="B280" s="111" t="s">
        <v>1730</v>
      </c>
      <c r="C280" s="112"/>
      <c r="D280" s="113" t="s">
        <v>665</v>
      </c>
      <c r="E280" s="130">
        <f>INDEX(Liste[],$E$2,273)</f>
        <v>44480000</v>
      </c>
      <c r="F280" s="134">
        <f>INDEX(Liste[],$E$2,273)</f>
        <v>44480000</v>
      </c>
      <c r="G280" s="134">
        <f>INDEX(Liste[],$E$2,274)</f>
        <v>38408000</v>
      </c>
      <c r="I280" s="7" t="str">
        <f t="shared" si="23"/>
        <v>FR</v>
      </c>
      <c r="J280" s="7" t="str">
        <f t="shared" si="21"/>
        <v>FR</v>
      </c>
      <c r="K280" s="7" t="str">
        <f>D280&amp;"(N1)"</f>
        <v>FR(N1)</v>
      </c>
      <c r="L280" s="163" t="str">
        <f>IFERROR(VLOOKUP(D280,Transco!B:E,4,FALSE),"")</f>
        <v>=INDEX(Liste;$E$2;273)</v>
      </c>
      <c r="M280" s="7" t="str">
        <f>IFERROR(VLOOKUP(J280,Transco!B:E,4,FALSE),"")</f>
        <v>=INDEX(Liste;$E$2;273)</v>
      </c>
      <c r="N280" s="7" t="str">
        <f>IFERROR(VLOOKUP(K280,Transco!B:E,4,FALSE),"")</f>
        <v>=INDEX(Liste;$E$2;274)</v>
      </c>
      <c r="O280" s="85" t="s">
        <v>3087</v>
      </c>
      <c r="P280" s="7">
        <f>INDEX(Liste[],$E$2,197)</f>
        <v>5933000</v>
      </c>
    </row>
    <row r="281" spans="2:16" x14ac:dyDescent="0.2">
      <c r="B281" s="38"/>
      <c r="C281" s="38"/>
      <c r="D281" s="103"/>
      <c r="E281" s="103"/>
      <c r="I281" s="7">
        <f t="shared" si="23"/>
        <v>0</v>
      </c>
      <c r="J281" s="7">
        <f t="shared" si="21"/>
        <v>0</v>
      </c>
      <c r="L281" s="163" t="str">
        <f>IFERROR(VLOOKUP(D281,Transco!B:E,4,FALSE),"")</f>
        <v/>
      </c>
      <c r="M281" s="7" t="str">
        <f>IFERROR(VLOOKUP(J281,Transco!B:E,4,FALSE),"")</f>
        <v/>
      </c>
      <c r="N281" s="7" t="str">
        <f>IFERROR(VLOOKUP(K281,Transco!B:E,4,FALSE),"")</f>
        <v/>
      </c>
      <c r="O281" s="85" t="s">
        <v>3088</v>
      </c>
      <c r="P281" s="7">
        <f>INDEX(Liste[],$E$2,199)</f>
        <v>0</v>
      </c>
    </row>
    <row r="282" spans="2:16" x14ac:dyDescent="0.2">
      <c r="B282" s="105" t="s">
        <v>1731</v>
      </c>
      <c r="C282" s="105"/>
      <c r="D282" s="106"/>
      <c r="E282" s="106"/>
      <c r="F282" s="106"/>
      <c r="G282" s="106"/>
      <c r="I282" s="7">
        <f t="shared" si="23"/>
        <v>0</v>
      </c>
      <c r="J282" s="7">
        <f t="shared" si="21"/>
        <v>0</v>
      </c>
      <c r="L282" s="163" t="str">
        <f>IFERROR(VLOOKUP(D282,Transco!B:E,4,FALSE),"")</f>
        <v/>
      </c>
      <c r="M282" s="7" t="str">
        <f>IFERROR(VLOOKUP(J282,Transco!B:E,4,FALSE),"")</f>
        <v/>
      </c>
      <c r="N282" s="7" t="str">
        <f>IFERROR(VLOOKUP(K282,Transco!B:E,4,FALSE),"")</f>
        <v/>
      </c>
      <c r="O282" s="85" t="s">
        <v>256</v>
      </c>
      <c r="P282" s="7">
        <f>INDEX(Liste[],$E$2,200)</f>
        <v>0</v>
      </c>
    </row>
    <row r="283" spans="2:16" x14ac:dyDescent="0.2">
      <c r="B283" s="39" t="s">
        <v>1732</v>
      </c>
      <c r="C283" s="40"/>
      <c r="D283" s="41" t="s">
        <v>599</v>
      </c>
      <c r="E283" s="40">
        <f>INDEX(Liste[],$E$2,207)</f>
        <v>0</v>
      </c>
      <c r="F283" s="57">
        <f>INDEX(Liste[],$E$2,207)</f>
        <v>0</v>
      </c>
      <c r="G283" s="57">
        <f>INDEX(Liste[],$E$2,208)</f>
        <v>0</v>
      </c>
      <c r="I283" s="7" t="str">
        <f t="shared" si="23"/>
        <v>FS</v>
      </c>
      <c r="J283" s="7" t="str">
        <f t="shared" si="21"/>
        <v>FS</v>
      </c>
      <c r="K283" s="7" t="str">
        <f t="shared" ref="K283:K288" si="24">D283&amp;"(N1)"</f>
        <v>FS(N1)</v>
      </c>
      <c r="L283" s="163" t="str">
        <f>IFERROR(VLOOKUP(D283,Transco!B:E,4,FALSE),"")</f>
        <v>=INDEX(Liste;$E$2;207)</v>
      </c>
      <c r="M283" s="7" t="str">
        <f>IFERROR(VLOOKUP(J283,Transco!B:E,4,FALSE),"")</f>
        <v>=INDEX(Liste;$E$2;207)</v>
      </c>
      <c r="N283" s="7" t="str">
        <f>IFERROR(VLOOKUP(K283,Transco!B:E,4,FALSE),"")</f>
        <v>=INDEX(Liste;$E$2;208)</v>
      </c>
      <c r="O283" s="85" t="s">
        <v>257</v>
      </c>
      <c r="P283" s="7">
        <f>INDEX(Liste[],$E$2,201)</f>
        <v>4778000</v>
      </c>
    </row>
    <row r="284" spans="2:16" x14ac:dyDescent="0.2">
      <c r="B284" s="39" t="s">
        <v>1733</v>
      </c>
      <c r="C284" s="40"/>
      <c r="D284" s="41" t="s">
        <v>669</v>
      </c>
      <c r="E284" s="40">
        <f>INDEX(Liste[],$E$2,277)</f>
        <v>0</v>
      </c>
      <c r="F284" s="57">
        <f>INDEX(Liste[],$E$2,277)</f>
        <v>0</v>
      </c>
      <c r="G284" s="57">
        <f>INDEX(Liste[],$E$2,278)</f>
        <v>0</v>
      </c>
      <c r="I284" s="7" t="str">
        <f t="shared" si="23"/>
        <v>FT</v>
      </c>
      <c r="J284" s="7" t="str">
        <f t="shared" si="21"/>
        <v>FT</v>
      </c>
      <c r="K284" s="7" t="str">
        <f t="shared" si="24"/>
        <v>FT(N1)</v>
      </c>
      <c r="L284" s="163" t="str">
        <f>IFERROR(VLOOKUP(D284,Transco!B:E,4,FALSE),"")</f>
        <v>=INDEX(Liste;$E$2;277)</v>
      </c>
      <c r="M284" s="7" t="str">
        <f>IFERROR(VLOOKUP(J284,Transco!B:E,4,FALSE),"")</f>
        <v>=INDEX(Liste;$E$2;277)</v>
      </c>
      <c r="N284" s="7" t="str">
        <f>IFERROR(VLOOKUP(K284,Transco!B:E,4,FALSE),"")</f>
        <v>=INDEX(Liste;$E$2;278)</v>
      </c>
      <c r="O284" s="85" t="s">
        <v>3089</v>
      </c>
      <c r="P284" s="7">
        <f>INDEX(Liste[],$E$2,202)</f>
        <v>3671000</v>
      </c>
    </row>
    <row r="285" spans="2:16" x14ac:dyDescent="0.2">
      <c r="B285" s="39" t="s">
        <v>1734</v>
      </c>
      <c r="C285" s="40"/>
      <c r="D285" s="41" t="s">
        <v>601</v>
      </c>
      <c r="E285" s="40">
        <f>INDEX(Liste[],$E$2,209)</f>
        <v>0</v>
      </c>
      <c r="F285" s="57">
        <f>INDEX(Liste[],$E$2,209)</f>
        <v>0</v>
      </c>
      <c r="G285" s="57">
        <f>INDEX(Liste[],$E$2,210)</f>
        <v>0</v>
      </c>
      <c r="I285" s="7" t="str">
        <f t="shared" si="23"/>
        <v>FU</v>
      </c>
      <c r="J285" s="7" t="str">
        <f t="shared" si="21"/>
        <v>FU</v>
      </c>
      <c r="K285" s="7" t="str">
        <f t="shared" si="24"/>
        <v>FU(N1)</v>
      </c>
      <c r="L285" s="163" t="str">
        <f>IFERROR(VLOOKUP(D285,Transco!B:E,4,FALSE),"")</f>
        <v>=INDEX(Liste;$E$2;209)</v>
      </c>
      <c r="M285" s="7" t="str">
        <f>IFERROR(VLOOKUP(J285,Transco!B:E,4,FALSE),"")</f>
        <v>=INDEX(Liste;$E$2;209)</v>
      </c>
      <c r="N285" s="7" t="str">
        <f>IFERROR(VLOOKUP(K285,Transco!B:E,4,FALSE),"")</f>
        <v>=INDEX(Liste;$E$2;210)</v>
      </c>
      <c r="O285" s="85" t="s">
        <v>3090</v>
      </c>
      <c r="P285" s="7">
        <f>INDEX(Liste[],$E$2,203)</f>
        <v>119000</v>
      </c>
    </row>
    <row r="286" spans="2:16" x14ac:dyDescent="0.2">
      <c r="B286" s="39" t="s">
        <v>1735</v>
      </c>
      <c r="C286" s="40"/>
      <c r="D286" s="41" t="s">
        <v>671</v>
      </c>
      <c r="E286" s="40">
        <f>INDEX(Liste[],$E$2,279)</f>
        <v>0</v>
      </c>
      <c r="F286" s="57">
        <f>INDEX(Liste[],$E$2,279)</f>
        <v>0</v>
      </c>
      <c r="G286" s="57">
        <f>INDEX(Liste[],$E$2,280)</f>
        <v>0</v>
      </c>
      <c r="I286" s="7" t="str">
        <f t="shared" si="23"/>
        <v>FV</v>
      </c>
      <c r="J286" s="7" t="str">
        <f t="shared" si="21"/>
        <v>FV</v>
      </c>
      <c r="K286" s="7" t="str">
        <f t="shared" si="24"/>
        <v>FV(N1)</v>
      </c>
      <c r="L286" s="163" t="str">
        <f>IFERROR(VLOOKUP(D286,Transco!B:E,4,FALSE),"")</f>
        <v>=INDEX(Liste;$E$2;279)</v>
      </c>
      <c r="M286" s="7" t="str">
        <f>IFERROR(VLOOKUP(J286,Transco!B:E,4,FALSE),"")</f>
        <v>=INDEX(Liste;$E$2;279)</v>
      </c>
      <c r="N286" s="7" t="str">
        <f>IFERROR(VLOOKUP(K286,Transco!B:E,4,FALSE),"")</f>
        <v>=INDEX(Liste;$E$2;280)</v>
      </c>
      <c r="O286" s="85" t="s">
        <v>3091</v>
      </c>
      <c r="P286" s="7">
        <f>INDEX(Liste[],$E$2,204)</f>
        <v>74000</v>
      </c>
    </row>
    <row r="287" spans="2:16" x14ac:dyDescent="0.2">
      <c r="B287" s="39" t="s">
        <v>1736</v>
      </c>
      <c r="C287" s="40"/>
      <c r="D287" s="41" t="s">
        <v>603</v>
      </c>
      <c r="E287" s="40">
        <f>INDEX(Liste[],$E$2,211)</f>
        <v>0</v>
      </c>
      <c r="F287" s="57">
        <f>INDEX(Liste[],$E$2,211)</f>
        <v>0</v>
      </c>
      <c r="G287" s="57">
        <f>INDEX(Liste[],$E$2,212)</f>
        <v>0</v>
      </c>
      <c r="I287" s="7" t="str">
        <f t="shared" si="23"/>
        <v>FW</v>
      </c>
      <c r="J287" s="7" t="str">
        <f t="shared" si="21"/>
        <v>FW</v>
      </c>
      <c r="K287" s="7" t="str">
        <f t="shared" si="24"/>
        <v>FW(N1)</v>
      </c>
      <c r="L287" s="163" t="str">
        <f>IFERROR(VLOOKUP(D287,Transco!B:E,4,FALSE),"")</f>
        <v>=INDEX(Liste;$E$2;211)</v>
      </c>
      <c r="M287" s="7" t="str">
        <f>IFERROR(VLOOKUP(J287,Transco!B:E,4,FALSE),"")</f>
        <v>=INDEX(Liste;$E$2;211)</v>
      </c>
      <c r="N287" s="7" t="str">
        <f>IFERROR(VLOOKUP(K287,Transco!B:E,4,FALSE),"")</f>
        <v>=INDEX(Liste;$E$2;212)</v>
      </c>
      <c r="O287" s="85" t="s">
        <v>3092</v>
      </c>
      <c r="P287" s="7">
        <f>INDEX(Liste[],$E$2,205)</f>
        <v>420000</v>
      </c>
    </row>
    <row r="288" spans="2:16" x14ac:dyDescent="0.2">
      <c r="B288" s="39" t="s">
        <v>1737</v>
      </c>
      <c r="C288" s="40"/>
      <c r="D288" s="41" t="s">
        <v>631</v>
      </c>
      <c r="E288" s="40">
        <f>INDEX(Liste[],$E$2,239)</f>
        <v>679000</v>
      </c>
      <c r="F288" s="57">
        <f>INDEX(Liste[],$E$2,239)</f>
        <v>679000</v>
      </c>
      <c r="G288" s="57">
        <f>INDEX(Liste[],$E$2,240)</f>
        <v>599000</v>
      </c>
      <c r="I288" s="7" t="str">
        <f t="shared" si="23"/>
        <v>FX</v>
      </c>
      <c r="J288" s="7" t="str">
        <f t="shared" si="21"/>
        <v>FX</v>
      </c>
      <c r="K288" s="7" t="str">
        <f t="shared" si="24"/>
        <v>FX(N1)</v>
      </c>
      <c r="L288" s="163" t="str">
        <f>IFERROR(VLOOKUP(D288,Transco!B:E,4,FALSE),"")</f>
        <v>=INDEX(Liste;$E$2;239)</v>
      </c>
      <c r="M288" s="7" t="str">
        <f>IFERROR(VLOOKUP(J288,Transco!B:E,4,FALSE),"")</f>
        <v>=INDEX(Liste;$E$2;239)</v>
      </c>
      <c r="N288" s="7" t="str">
        <f>IFERROR(VLOOKUP(K288,Transco!B:E,4,FALSE),"")</f>
        <v>=INDEX(Liste;$E$2;240)</v>
      </c>
      <c r="O288" s="85" t="s">
        <v>260</v>
      </c>
      <c r="P288" s="7">
        <f>INDEX(Liste[],$E$2,206)</f>
        <v>327000</v>
      </c>
    </row>
    <row r="289" spans="2:16" x14ac:dyDescent="0.2">
      <c r="I289" s="7">
        <f t="shared" si="23"/>
        <v>0</v>
      </c>
      <c r="J289" s="7">
        <f t="shared" si="21"/>
        <v>0</v>
      </c>
      <c r="L289" s="163" t="str">
        <f>IFERROR(VLOOKUP(D289,Transco!B:E,4,FALSE),"")</f>
        <v/>
      </c>
      <c r="M289" s="7" t="str">
        <f>IFERROR(VLOOKUP(J289,Transco!B:E,4,FALSE),"")</f>
        <v/>
      </c>
      <c r="N289" s="7" t="str">
        <f>IFERROR(VLOOKUP(K289,Transco!B:E,4,FALSE),"")</f>
        <v/>
      </c>
      <c r="O289" s="85" t="s">
        <v>261</v>
      </c>
      <c r="P289" s="7">
        <f>INDEX(Liste[],$E$2,207)</f>
        <v>0</v>
      </c>
    </row>
    <row r="290" spans="2:16" x14ac:dyDescent="0.2">
      <c r="B290" s="105" t="s">
        <v>1738</v>
      </c>
      <c r="C290" s="105"/>
      <c r="D290" s="106"/>
      <c r="F290" s="141"/>
      <c r="I290" s="7">
        <f t="shared" si="23"/>
        <v>0</v>
      </c>
      <c r="J290" s="7">
        <f t="shared" si="21"/>
        <v>0</v>
      </c>
      <c r="L290" s="163" t="str">
        <f>IFERROR(VLOOKUP(D290,Transco!B:E,4,FALSE),"")</f>
        <v/>
      </c>
      <c r="M290" s="7" t="str">
        <f>IFERROR(VLOOKUP(J290,Transco!B:E,4,FALSE),"")</f>
        <v/>
      </c>
      <c r="N290" s="7" t="str">
        <f>IFERROR(VLOOKUP(K290,Transco!B:E,4,FALSE),"")</f>
        <v/>
      </c>
      <c r="O290" s="85" t="s">
        <v>3093</v>
      </c>
      <c r="P290" s="7">
        <f>INDEX(Liste[],$E$2,208)</f>
        <v>0</v>
      </c>
    </row>
    <row r="291" spans="2:16" x14ac:dyDescent="0.2">
      <c r="B291" s="39" t="s">
        <v>1739</v>
      </c>
      <c r="C291" s="40"/>
      <c r="D291" s="41" t="s">
        <v>657</v>
      </c>
      <c r="E291" s="40">
        <f>INDEX(Liste[],$E$2,265)</f>
        <v>0</v>
      </c>
      <c r="F291" s="57">
        <f>INDEX(Liste[],$E$2,265)</f>
        <v>0</v>
      </c>
      <c r="G291" s="57">
        <f>INDEX(Liste[],$E$2,266)</f>
        <v>0</v>
      </c>
      <c r="I291" s="7" t="str">
        <f t="shared" si="23"/>
        <v>FY</v>
      </c>
      <c r="J291" s="7" t="str">
        <f t="shared" si="21"/>
        <v>FY</v>
      </c>
      <c r="K291" s="7" t="str">
        <f>D291&amp;"(N1)"</f>
        <v>FY(N1)</v>
      </c>
      <c r="L291" s="163" t="str">
        <f>IFERROR(VLOOKUP(D291,Transco!B:E,4,FALSE),"")</f>
        <v>=INDEX(Liste;$E$2;265)</v>
      </c>
      <c r="M291" s="7" t="str">
        <f>IFERROR(VLOOKUP(J291,Transco!B:E,4,FALSE),"")</f>
        <v>=INDEX(Liste;$E$2;265)</v>
      </c>
      <c r="N291" s="7" t="str">
        <f>IFERROR(VLOOKUP(K291,Transco!B:E,4,FALSE),"")</f>
        <v>=INDEX(Liste;$E$2;266)</v>
      </c>
      <c r="O291" s="85" t="s">
        <v>3094</v>
      </c>
      <c r="P291" s="7">
        <f>INDEX(Liste[],$E$2,209)</f>
        <v>0</v>
      </c>
    </row>
    <row r="292" spans="2:16" x14ac:dyDescent="0.2">
      <c r="B292" s="39" t="s">
        <v>1740</v>
      </c>
      <c r="C292" s="40"/>
      <c r="D292" s="41" t="s">
        <v>615</v>
      </c>
      <c r="E292" s="40">
        <f>INDEX(Liste[],$E$2,223)</f>
        <v>0</v>
      </c>
      <c r="F292" s="57">
        <f>INDEX(Liste[],$E$2,223)</f>
        <v>0</v>
      </c>
      <c r="G292" s="57">
        <f>INDEX(Liste[],$E$2,224)</f>
        <v>0</v>
      </c>
      <c r="I292" s="7" t="str">
        <f t="shared" si="23"/>
        <v>FZ</v>
      </c>
      <c r="J292" s="7" t="str">
        <f t="shared" si="21"/>
        <v>FZ</v>
      </c>
      <c r="K292" s="7" t="str">
        <f>D292&amp;"(N1)"</f>
        <v>FZ(N1)</v>
      </c>
      <c r="L292" s="163" t="str">
        <f>IFERROR(VLOOKUP(D292,Transco!B:E,4,FALSE),"")</f>
        <v>=INDEX(Liste;$E$2;223)</v>
      </c>
      <c r="M292" s="7" t="str">
        <f>IFERROR(VLOOKUP(J292,Transco!B:E,4,FALSE),"")</f>
        <v>=INDEX(Liste;$E$2;223)</v>
      </c>
      <c r="N292" s="7" t="str">
        <f>IFERROR(VLOOKUP(K292,Transco!B:E,4,FALSE),"")</f>
        <v>=INDEX(Liste;$E$2;224)</v>
      </c>
      <c r="O292" s="85" t="s">
        <v>3095</v>
      </c>
      <c r="P292" s="7">
        <f>INDEX(Liste[],$E$2,210)</f>
        <v>0</v>
      </c>
    </row>
    <row r="293" spans="2:16" x14ac:dyDescent="0.2">
      <c r="I293" s="7">
        <f t="shared" si="23"/>
        <v>0</v>
      </c>
      <c r="J293" s="7">
        <f t="shared" si="21"/>
        <v>0</v>
      </c>
      <c r="L293" s="163" t="str">
        <f>IFERROR(VLOOKUP(D293,Transco!B:E,4,FALSE),"")</f>
        <v/>
      </c>
      <c r="M293" s="7" t="str">
        <f>IFERROR(VLOOKUP(J293,Transco!B:E,4,FALSE),"")</f>
        <v/>
      </c>
      <c r="N293" s="7" t="str">
        <f>IFERROR(VLOOKUP(K293,Transco!B:E,4,FALSE),"")</f>
        <v/>
      </c>
      <c r="O293" s="85" t="s">
        <v>3096</v>
      </c>
      <c r="P293" s="7">
        <f>INDEX(Liste[],$E$2,211)</f>
        <v>0</v>
      </c>
    </row>
    <row r="294" spans="2:16" x14ac:dyDescent="0.2">
      <c r="B294" s="105" t="s">
        <v>1600</v>
      </c>
      <c r="C294" s="105"/>
      <c r="D294" s="106"/>
      <c r="F294" s="141"/>
      <c r="I294" s="7">
        <f t="shared" si="23"/>
        <v>0</v>
      </c>
      <c r="J294" s="7">
        <f t="shared" si="21"/>
        <v>0</v>
      </c>
      <c r="L294" s="163" t="str">
        <f>IFERROR(VLOOKUP(D294,Transco!B:E,4,FALSE),"")</f>
        <v/>
      </c>
      <c r="M294" s="7" t="str">
        <f>IFERROR(VLOOKUP(J294,Transco!B:E,4,FALSE),"")</f>
        <v/>
      </c>
      <c r="N294" s="7" t="str">
        <f>IFERROR(VLOOKUP(K294,Transco!B:E,4,FALSE),"")</f>
        <v/>
      </c>
      <c r="O294" s="85" t="s">
        <v>3097</v>
      </c>
      <c r="P294" s="7">
        <f>INDEX(Liste[],$E$2,212)</f>
        <v>0</v>
      </c>
    </row>
    <row r="295" spans="2:16" x14ac:dyDescent="0.2">
      <c r="B295" s="39" t="s">
        <v>1741</v>
      </c>
      <c r="C295" s="40"/>
      <c r="D295" s="41" t="s">
        <v>621</v>
      </c>
      <c r="E295" s="40">
        <f>INDEX(Liste[],$E$2,229)</f>
        <v>0</v>
      </c>
      <c r="F295" s="57">
        <f>INDEX(Liste[],$E$2,229)</f>
        <v>0</v>
      </c>
      <c r="G295" s="57">
        <f>INDEX(Liste[],$E$2,230)</f>
        <v>0</v>
      </c>
      <c r="I295" s="7" t="str">
        <f t="shared" si="23"/>
        <v>GA</v>
      </c>
      <c r="J295" s="7" t="str">
        <f t="shared" si="21"/>
        <v>GA</v>
      </c>
      <c r="K295" s="7" t="str">
        <f>D295&amp;"(N1)"</f>
        <v>GA(N1)</v>
      </c>
      <c r="L295" s="163" t="str">
        <f>IFERROR(VLOOKUP(D295,Transco!B:E,4,FALSE),"")</f>
        <v>=INDEX(Liste;$E$2;229)</v>
      </c>
      <c r="M295" s="7" t="str">
        <f>IFERROR(VLOOKUP(J295,Transco!B:E,4,FALSE),"")</f>
        <v>=INDEX(Liste;$E$2;229)</v>
      </c>
      <c r="N295" s="7" t="str">
        <f>IFERROR(VLOOKUP(K295,Transco!B:E,4,FALSE),"")</f>
        <v>=INDEX(Liste;$E$2;230)</v>
      </c>
      <c r="O295" s="85" t="s">
        <v>3098</v>
      </c>
      <c r="P295" s="7">
        <f>INDEX(Liste[],$E$2,213)</f>
        <v>16673000</v>
      </c>
    </row>
    <row r="296" spans="2:16" x14ac:dyDescent="0.2">
      <c r="B296" s="39" t="s">
        <v>1742</v>
      </c>
      <c r="C296" s="40"/>
      <c r="D296" s="41" t="s">
        <v>623</v>
      </c>
      <c r="E296" s="40">
        <f>INDEX(Liste[],$E$2,231)</f>
        <v>0</v>
      </c>
      <c r="F296" s="57">
        <f>INDEX(Liste[],$E$2,231)</f>
        <v>0</v>
      </c>
      <c r="G296" s="57">
        <f>INDEX(Liste[],$E$2,232)</f>
        <v>0</v>
      </c>
      <c r="I296" s="7" t="str">
        <f t="shared" si="23"/>
        <v>GB</v>
      </c>
      <c r="J296" s="7" t="str">
        <f t="shared" si="21"/>
        <v>GB</v>
      </c>
      <c r="K296" s="7" t="str">
        <f>D296&amp;"(N1)"</f>
        <v>GB(N1)</v>
      </c>
      <c r="L296" s="163" t="str">
        <f>IFERROR(VLOOKUP(D296,Transco!B:E,4,FALSE),"")</f>
        <v>=INDEX(Liste;$E$2;231)</v>
      </c>
      <c r="M296" s="7" t="str">
        <f>IFERROR(VLOOKUP(J296,Transco!B:E,4,FALSE),"")</f>
        <v>=INDEX(Liste;$E$2;231)</v>
      </c>
      <c r="N296" s="7" t="str">
        <f>IFERROR(VLOOKUP(K296,Transco!B:E,4,FALSE),"")</f>
        <v>=INDEX(Liste;$E$2;232)</v>
      </c>
      <c r="O296" s="85" t="s">
        <v>3099</v>
      </c>
      <c r="P296" s="7">
        <f>INDEX(Liste[],$E$2,214)</f>
        <v>14744000</v>
      </c>
    </row>
    <row r="297" spans="2:16" x14ac:dyDescent="0.2">
      <c r="B297" s="39" t="s">
        <v>1743</v>
      </c>
      <c r="C297" s="40"/>
      <c r="D297" s="41" t="s">
        <v>627</v>
      </c>
      <c r="E297" s="40">
        <f>INDEX(Liste[],$E$2,235)</f>
        <v>0</v>
      </c>
      <c r="F297" s="57">
        <f>INDEX(Liste[],$E$2,235)</f>
        <v>0</v>
      </c>
      <c r="G297" s="57">
        <f>INDEX(Liste[],$E$2,236)</f>
        <v>0</v>
      </c>
      <c r="I297" s="7" t="str">
        <f t="shared" si="23"/>
        <v>GC</v>
      </c>
      <c r="J297" s="7" t="str">
        <f t="shared" si="21"/>
        <v>GC</v>
      </c>
      <c r="K297" s="7" t="str">
        <f>D297&amp;"(N1)"</f>
        <v>GC(N1)</v>
      </c>
      <c r="L297" s="163" t="str">
        <f>IFERROR(VLOOKUP(D297,Transco!B:E,4,FALSE),"")</f>
        <v>=INDEX(Liste;$E$2;235)</v>
      </c>
      <c r="M297" s="7" t="str">
        <f>IFERROR(VLOOKUP(J297,Transco!B:E,4,FALSE),"")</f>
        <v>=INDEX(Liste;$E$2;235)</v>
      </c>
      <c r="N297" s="7" t="str">
        <f>IFERROR(VLOOKUP(K297,Transco!B:E,4,FALSE),"")</f>
        <v>=INDEX(Liste;$E$2;236)</v>
      </c>
      <c r="O297" s="85" t="s">
        <v>3100</v>
      </c>
      <c r="P297" s="7">
        <f>INDEX(Liste[],$E$2,215)</f>
        <v>0</v>
      </c>
    </row>
    <row r="298" spans="2:16" x14ac:dyDescent="0.2">
      <c r="B298" s="39" t="s">
        <v>1744</v>
      </c>
      <c r="C298" s="40"/>
      <c r="D298" s="41" t="s">
        <v>625</v>
      </c>
      <c r="E298" s="40">
        <f>INDEX(Liste[],$E$2,233)</f>
        <v>0</v>
      </c>
      <c r="F298" s="57">
        <f>INDEX(Liste[],$E$2,233)</f>
        <v>0</v>
      </c>
      <c r="G298" s="57">
        <f>INDEX(Liste[],$E$2,234)</f>
        <v>0</v>
      </c>
      <c r="I298" s="7" t="str">
        <f t="shared" si="23"/>
        <v>GD</v>
      </c>
      <c r="J298" s="7" t="str">
        <f t="shared" si="21"/>
        <v>GD</v>
      </c>
      <c r="K298" s="7" t="str">
        <f>D298&amp;"(N1)"</f>
        <v>GD(N1)</v>
      </c>
      <c r="L298" s="163" t="str">
        <f>IFERROR(VLOOKUP(D298,Transco!B:E,4,FALSE),"")</f>
        <v>=INDEX(Liste;$E$2;233)</v>
      </c>
      <c r="M298" s="7" t="str">
        <f>IFERROR(VLOOKUP(J298,Transco!B:E,4,FALSE),"")</f>
        <v>=INDEX(Liste;$E$2;233)</v>
      </c>
      <c r="N298" s="7" t="str">
        <f>IFERROR(VLOOKUP(K298,Transco!B:E,4,FALSE),"")</f>
        <v>=INDEX(Liste;$E$2;234)</v>
      </c>
      <c r="O298" s="85" t="s">
        <v>3101</v>
      </c>
      <c r="P298" s="7">
        <f>INDEX(Liste[],$E$2,216)</f>
        <v>0</v>
      </c>
    </row>
    <row r="299" spans="2:16" x14ac:dyDescent="0.2">
      <c r="I299" s="7">
        <f t="shared" si="23"/>
        <v>0</v>
      </c>
      <c r="J299" s="7">
        <f t="shared" si="21"/>
        <v>0</v>
      </c>
      <c r="K299" s="7" t="str">
        <f>D299&amp;"(N1)"</f>
        <v>(N1)</v>
      </c>
      <c r="L299" s="163" t="str">
        <f>IFERROR(VLOOKUP(D299,Transco!B:E,4,FALSE),"")</f>
        <v/>
      </c>
      <c r="M299" s="7" t="str">
        <f>IFERROR(VLOOKUP(J299,Transco!B:E,4,FALSE),"")</f>
        <v/>
      </c>
      <c r="N299" s="7" t="str">
        <f>IFERROR(VLOOKUP(K299,Transco!B:E,4,FALSE),"")</f>
        <v>=INDEX(Liste;$E$2;302)</v>
      </c>
      <c r="O299" s="85" t="s">
        <v>3102</v>
      </c>
      <c r="P299" s="7">
        <f>INDEX(Liste[],$E$2,217)</f>
        <v>173000</v>
      </c>
    </row>
    <row r="300" spans="2:16" x14ac:dyDescent="0.2">
      <c r="B300" s="64" t="s">
        <v>1745</v>
      </c>
      <c r="C300" s="77"/>
      <c r="D300" s="78" t="s">
        <v>605</v>
      </c>
      <c r="E300" s="77">
        <f>INDEX(Liste[],$E$2,213)</f>
        <v>16673000</v>
      </c>
      <c r="F300" s="79">
        <f>INDEX(Liste[],$E$2,213)</f>
        <v>16673000</v>
      </c>
      <c r="G300" s="79">
        <f>INDEX(Liste[],$E$2,214)</f>
        <v>14744000</v>
      </c>
      <c r="I300" s="7" t="str">
        <f t="shared" si="23"/>
        <v>GE</v>
      </c>
      <c r="J300" s="7" t="str">
        <f t="shared" si="21"/>
        <v>GE</v>
      </c>
      <c r="L300" s="163" t="str">
        <f>IFERROR(VLOOKUP(D300,Transco!B:E,4,FALSE),"")</f>
        <v>=INDEX(Liste;$E$2;213)</v>
      </c>
      <c r="M300" s="7" t="str">
        <f>IFERROR(VLOOKUP(J300,Transco!B:E,4,FALSE),"")</f>
        <v>=INDEX(Liste;$E$2;213)</v>
      </c>
      <c r="N300" s="7" t="str">
        <f>IFERROR(VLOOKUP(K300,Transco!B:E,4,FALSE),"")</f>
        <v/>
      </c>
      <c r="O300" s="85" t="s">
        <v>3103</v>
      </c>
      <c r="P300" s="7">
        <f>INDEX(Liste[],$E$2,218)</f>
        <v>219000</v>
      </c>
    </row>
    <row r="301" spans="2:16" x14ac:dyDescent="0.2">
      <c r="I301" s="7">
        <f t="shared" si="23"/>
        <v>0</v>
      </c>
      <c r="J301" s="7">
        <f t="shared" si="21"/>
        <v>0</v>
      </c>
      <c r="K301" s="7" t="str">
        <f>D301&amp;"(N1)"</f>
        <v>(N1)</v>
      </c>
      <c r="L301" s="163" t="str">
        <f>IFERROR(VLOOKUP(D301,Transco!B:E,4,FALSE),"")</f>
        <v/>
      </c>
      <c r="M301" s="7" t="str">
        <f>IFERROR(VLOOKUP(J301,Transco!B:E,4,FALSE),"")</f>
        <v/>
      </c>
      <c r="N301" s="7" t="str">
        <f>IFERROR(VLOOKUP(K301,Transco!B:E,4,FALSE),"")</f>
        <v>=INDEX(Liste;$E$2;302)</v>
      </c>
      <c r="O301" s="85" t="s">
        <v>3104</v>
      </c>
      <c r="P301" s="7">
        <f>INDEX(Liste[],$E$2,219)</f>
        <v>0</v>
      </c>
    </row>
    <row r="302" spans="2:16" x14ac:dyDescent="0.2">
      <c r="B302" s="111" t="s">
        <v>1746</v>
      </c>
      <c r="C302" s="112"/>
      <c r="D302" s="113" t="s">
        <v>661</v>
      </c>
      <c r="E302" s="112">
        <f>INDEX(Liste[],$E$2,269)</f>
        <v>35337000</v>
      </c>
      <c r="F302" s="126">
        <f>INDEX(Liste[],$E$2,269)</f>
        <v>35337000</v>
      </c>
      <c r="G302" s="126">
        <f>INDEX(Liste[],$E$2,270)</f>
        <v>31070000</v>
      </c>
      <c r="I302" s="7" t="str">
        <f t="shared" si="23"/>
        <v>GF</v>
      </c>
      <c r="J302" s="7" t="str">
        <f t="shared" si="21"/>
        <v>GF</v>
      </c>
      <c r="K302" s="7" t="str">
        <f>D302&amp;"(N1)"</f>
        <v>GF(N1)</v>
      </c>
      <c r="L302" s="163" t="str">
        <f>IFERROR(VLOOKUP(D302,Transco!B:E,4,FALSE),"")</f>
        <v>=INDEX(Liste;$E$2;269)</v>
      </c>
      <c r="M302" s="7" t="str">
        <f>IFERROR(VLOOKUP(J302,Transco!B:E,4,FALSE),"")</f>
        <v>=INDEX(Liste;$E$2;269)</v>
      </c>
      <c r="N302" s="7" t="str">
        <f>IFERROR(VLOOKUP(K302,Transco!B:E,4,FALSE),"")</f>
        <v>=INDEX(Liste;$E$2;270)</v>
      </c>
      <c r="O302" s="85" t="s">
        <v>3105</v>
      </c>
      <c r="P302" s="7">
        <f>INDEX(Liste[],$E$2,220)</f>
        <v>0</v>
      </c>
    </row>
    <row r="303" spans="2:16" x14ac:dyDescent="0.2">
      <c r="I303" s="7">
        <f t="shared" si="23"/>
        <v>0</v>
      </c>
      <c r="J303" s="7">
        <f t="shared" si="21"/>
        <v>0</v>
      </c>
      <c r="L303" s="163" t="str">
        <f>IFERROR(VLOOKUP(D303,Transco!B:E,4,FALSE),"")</f>
        <v/>
      </c>
      <c r="M303" s="7" t="str">
        <f>IFERROR(VLOOKUP(J303,Transco!B:E,4,FALSE),"")</f>
        <v/>
      </c>
      <c r="N303" s="7" t="str">
        <f>IFERROR(VLOOKUP(K303,Transco!B:E,4,FALSE),"")</f>
        <v/>
      </c>
      <c r="O303" s="85" t="s">
        <v>3106</v>
      </c>
      <c r="P303" s="7">
        <f>INDEX(Liste[],$E$2,221)</f>
        <v>0</v>
      </c>
    </row>
    <row r="304" spans="2:16" ht="13.5" thickBot="1" x14ac:dyDescent="0.25">
      <c r="B304" s="111" t="s">
        <v>1747</v>
      </c>
      <c r="C304" s="112"/>
      <c r="D304" s="113" t="s">
        <v>649</v>
      </c>
      <c r="E304" s="112">
        <f>INDEX(Liste[],$E$2,257)</f>
        <v>9144000</v>
      </c>
      <c r="F304" s="126">
        <f>INDEX(Liste[],$E$2,257)</f>
        <v>9144000</v>
      </c>
      <c r="G304" s="126">
        <f>INDEX(Liste[],$E$2,258)</f>
        <v>7338000</v>
      </c>
      <c r="I304" s="7" t="str">
        <f t="shared" si="23"/>
        <v>GG</v>
      </c>
      <c r="J304" s="7" t="str">
        <f t="shared" si="21"/>
        <v>GG</v>
      </c>
      <c r="K304" s="7" t="str">
        <f>D304&amp;"(N1)"</f>
        <v>GG(N1)</v>
      </c>
      <c r="L304" s="163" t="str">
        <f>IFERROR(VLOOKUP(D304,Transco!B:E,4,FALSE),"")</f>
        <v>=INDEX(Liste;$E$2;257)</v>
      </c>
      <c r="M304" s="7" t="str">
        <f>IFERROR(VLOOKUP(J304,Transco!B:E,4,FALSE),"")</f>
        <v>=INDEX(Liste;$E$2;257)</v>
      </c>
      <c r="N304" s="7" t="str">
        <f>IFERROR(VLOOKUP(K304,Transco!B:E,4,FALSE),"")</f>
        <v>=INDEX(Liste;$E$2;258)</v>
      </c>
      <c r="O304" s="85" t="s">
        <v>3107</v>
      </c>
      <c r="P304" s="7">
        <f>INDEX(Liste[],$E$2,222)</f>
        <v>0</v>
      </c>
    </row>
    <row r="305" spans="2:16" x14ac:dyDescent="0.2">
      <c r="B305" s="59"/>
      <c r="C305" s="59"/>
      <c r="D305" s="59"/>
      <c r="E305" s="60"/>
      <c r="F305" s="72"/>
      <c r="G305" s="72">
        <f>INDEX(Liste[],$E$2,302)</f>
        <v>0</v>
      </c>
      <c r="I305" s="7">
        <f t="shared" si="23"/>
        <v>0</v>
      </c>
      <c r="J305" s="7">
        <f t="shared" si="21"/>
        <v>0</v>
      </c>
      <c r="L305" s="163" t="str">
        <f>IFERROR(VLOOKUP(D305,Transco!B:E,4,FALSE),"")</f>
        <v/>
      </c>
      <c r="M305" s="7" t="str">
        <f>IFERROR(VLOOKUP(J305,Transco!B:E,4,FALSE),"")</f>
        <v/>
      </c>
      <c r="N305" s="7" t="str">
        <f>IFERROR(VLOOKUP(K305,Transco!B:E,4,FALSE),"")</f>
        <v/>
      </c>
      <c r="O305" s="85" t="s">
        <v>3108</v>
      </c>
      <c r="P305" s="7">
        <f>INDEX(Liste[],$E$2,223)</f>
        <v>0</v>
      </c>
    </row>
    <row r="306" spans="2:16" x14ac:dyDescent="0.2">
      <c r="I306" s="7">
        <f t="shared" si="23"/>
        <v>0</v>
      </c>
      <c r="J306" s="7">
        <f t="shared" si="21"/>
        <v>0</v>
      </c>
      <c r="L306" s="163" t="str">
        <f>IFERROR(VLOOKUP(D306,Transco!B:E,4,FALSE),"")</f>
        <v/>
      </c>
      <c r="M306" s="7" t="str">
        <f>IFERROR(VLOOKUP(J306,Transco!B:E,4,FALSE),"")</f>
        <v/>
      </c>
      <c r="N306" s="7" t="str">
        <f>IFERROR(VLOOKUP(K306,Transco!B:E,4,FALSE),"")</f>
        <v/>
      </c>
      <c r="O306" s="85" t="s">
        <v>3109</v>
      </c>
      <c r="P306" s="7">
        <f>INDEX(Liste[],$E$2,224)</f>
        <v>0</v>
      </c>
    </row>
    <row r="307" spans="2:16" x14ac:dyDescent="0.2">
      <c r="B307" s="105" t="s">
        <v>1748</v>
      </c>
      <c r="C307" s="105"/>
      <c r="D307" s="106"/>
      <c r="E307" s="106"/>
      <c r="I307" s="7">
        <f t="shared" si="23"/>
        <v>0</v>
      </c>
      <c r="J307" s="7">
        <f t="shared" si="21"/>
        <v>0</v>
      </c>
      <c r="L307" s="163" t="str">
        <f>IFERROR(VLOOKUP(D307,Transco!B:E,4,FALSE),"")</f>
        <v/>
      </c>
      <c r="M307" s="7" t="str">
        <f>IFERROR(VLOOKUP(J307,Transco!B:E,4,FALSE),"")</f>
        <v/>
      </c>
      <c r="N307" s="7" t="str">
        <f>IFERROR(VLOOKUP(K307,Transco!B:E,4,FALSE),"")</f>
        <v/>
      </c>
      <c r="O307" s="85" t="s">
        <v>3110</v>
      </c>
      <c r="P307" s="7">
        <f>INDEX(Liste[],$E$2,225)</f>
        <v>0</v>
      </c>
    </row>
    <row r="308" spans="2:16" x14ac:dyDescent="0.2">
      <c r="B308" s="39" t="s">
        <v>1749</v>
      </c>
      <c r="C308" s="40"/>
      <c r="D308" s="41" t="s">
        <v>611</v>
      </c>
      <c r="E308" s="40">
        <f>INDEX(Liste[],$E$2,219)</f>
        <v>0</v>
      </c>
      <c r="F308" s="57">
        <f>INDEX(Liste[],$E$2,219)</f>
        <v>0</v>
      </c>
      <c r="G308" s="57">
        <f>INDEX(Liste[],$E$2,220)</f>
        <v>0</v>
      </c>
      <c r="I308" s="7" t="str">
        <f t="shared" si="23"/>
        <v>GH</v>
      </c>
      <c r="J308" s="7" t="str">
        <f t="shared" si="21"/>
        <v>GH</v>
      </c>
      <c r="K308" s="7" t="str">
        <f t="shared" ref="K308:K315" si="25">D308&amp;"(N1)"</f>
        <v>GH(N1)</v>
      </c>
      <c r="L308" s="163" t="str">
        <f>IFERROR(VLOOKUP(D308,Transco!B:E,4,FALSE),"")</f>
        <v>=INDEX(Liste;$E$2;219)</v>
      </c>
      <c r="M308" s="7" t="str">
        <f>IFERROR(VLOOKUP(J308,Transco!B:E,4,FALSE),"")</f>
        <v>=INDEX(Liste;$E$2;219)</v>
      </c>
      <c r="N308" s="7" t="str">
        <f>IFERROR(VLOOKUP(K308,Transco!B:E,4,FALSE),"")</f>
        <v>=INDEX(Liste;$E$2;220)</v>
      </c>
      <c r="O308" s="85" t="s">
        <v>3111</v>
      </c>
      <c r="P308" s="7">
        <f>INDEX(Liste[],$E$2,226)</f>
        <v>0</v>
      </c>
    </row>
    <row r="309" spans="2:16" x14ac:dyDescent="0.2">
      <c r="B309" s="39" t="s">
        <v>1750</v>
      </c>
      <c r="C309" s="40"/>
      <c r="D309" s="41" t="s">
        <v>635</v>
      </c>
      <c r="E309" s="40">
        <f>INDEX(Liste[],$E$2,243)</f>
        <v>0</v>
      </c>
      <c r="F309" s="57">
        <f>INDEX(Liste[],$E$2,243)</f>
        <v>0</v>
      </c>
      <c r="G309" s="57">
        <f>INDEX(Liste[],$E$2,244)</f>
        <v>0</v>
      </c>
      <c r="I309" s="7" t="str">
        <f t="shared" si="23"/>
        <v>GI</v>
      </c>
      <c r="J309" s="7" t="str">
        <f t="shared" si="21"/>
        <v>GI</v>
      </c>
      <c r="K309" s="7" t="str">
        <f t="shared" si="25"/>
        <v>GI(N1)</v>
      </c>
      <c r="L309" s="163" t="str">
        <f>IFERROR(VLOOKUP(D309,Transco!B:E,4,FALSE),"")</f>
        <v>=INDEX(Liste;$E$2;243)</v>
      </c>
      <c r="M309" s="7" t="str">
        <f>IFERROR(VLOOKUP(J309,Transco!B:E,4,FALSE),"")</f>
        <v>=INDEX(Liste;$E$2;243)</v>
      </c>
      <c r="N309" s="7" t="str">
        <f>IFERROR(VLOOKUP(K309,Transco!B:E,4,FALSE),"")</f>
        <v>=INDEX(Liste;$E$2;244)</v>
      </c>
      <c r="O309" s="85" t="s">
        <v>3112</v>
      </c>
      <c r="P309" s="7">
        <f>INDEX(Liste[],$E$2,227)</f>
        <v>0</v>
      </c>
    </row>
    <row r="310" spans="2:16" x14ac:dyDescent="0.2">
      <c r="B310" s="39" t="s">
        <v>1751</v>
      </c>
      <c r="C310" s="40"/>
      <c r="D310" s="41" t="s">
        <v>643</v>
      </c>
      <c r="E310" s="40">
        <f>INDEX(Liste[],$E$2,251)</f>
        <v>0</v>
      </c>
      <c r="F310" s="57">
        <f>INDEX(Liste[],$E$2,251)</f>
        <v>0</v>
      </c>
      <c r="G310" s="57">
        <f>INDEX(Liste[],$E$2,252)</f>
        <v>0</v>
      </c>
      <c r="I310" s="7" t="str">
        <f t="shared" si="23"/>
        <v>GJ</v>
      </c>
      <c r="J310" s="7" t="str">
        <f t="shared" si="21"/>
        <v>GJ</v>
      </c>
      <c r="K310" s="7" t="str">
        <f t="shared" si="25"/>
        <v>GJ(N1)</v>
      </c>
      <c r="L310" s="163" t="str">
        <f>IFERROR(VLOOKUP(D310,Transco!B:E,4,FALSE),"")</f>
        <v>=INDEX(Liste;$E$2;251)</v>
      </c>
      <c r="M310" s="7" t="str">
        <f>IFERROR(VLOOKUP(J310,Transco!B:E,4,FALSE),"")</f>
        <v>=INDEX(Liste;$E$2;251)</v>
      </c>
      <c r="N310" s="7" t="str">
        <f>IFERROR(VLOOKUP(K310,Transco!B:E,4,FALSE),"")</f>
        <v>=INDEX(Liste;$E$2;252)</v>
      </c>
      <c r="O310" s="85" t="s">
        <v>3113</v>
      </c>
      <c r="P310" s="7">
        <f>INDEX(Liste[],$E$2,228)</f>
        <v>0</v>
      </c>
    </row>
    <row r="311" spans="2:16" x14ac:dyDescent="0.2">
      <c r="B311" s="39" t="s">
        <v>1752</v>
      </c>
      <c r="C311" s="40"/>
      <c r="D311" s="41" t="s">
        <v>641</v>
      </c>
      <c r="E311" s="40">
        <f>INDEX(Liste[],$E$2,249)</f>
        <v>0</v>
      </c>
      <c r="F311" s="57">
        <f>INDEX(Liste[],$E$2,249)</f>
        <v>0</v>
      </c>
      <c r="G311" s="57">
        <f>INDEX(Liste[],$E$2,250)</f>
        <v>0</v>
      </c>
      <c r="I311" s="7" t="str">
        <f t="shared" si="23"/>
        <v>GK</v>
      </c>
      <c r="J311" s="7" t="str">
        <f t="shared" ref="J311:J365" si="26">D311</f>
        <v>GK</v>
      </c>
      <c r="K311" s="7" t="str">
        <f t="shared" si="25"/>
        <v>GK(N1)</v>
      </c>
      <c r="L311" s="163" t="str">
        <f>IFERROR(VLOOKUP(D311,Transco!B:E,4,FALSE),"")</f>
        <v>=INDEX(Liste;$E$2;249)</v>
      </c>
      <c r="M311" s="7" t="str">
        <f>IFERROR(VLOOKUP(J311,Transco!B:E,4,FALSE),"")</f>
        <v>=INDEX(Liste;$E$2;249)</v>
      </c>
      <c r="N311" s="7" t="str">
        <f>IFERROR(VLOOKUP(K311,Transco!B:E,4,FALSE),"")</f>
        <v>=INDEX(Liste;$E$2;250)</v>
      </c>
      <c r="O311" s="85" t="s">
        <v>3114</v>
      </c>
      <c r="P311" s="7">
        <f>INDEX(Liste[],$E$2,229)</f>
        <v>0</v>
      </c>
    </row>
    <row r="312" spans="2:16" x14ac:dyDescent="0.2">
      <c r="B312" s="39" t="s">
        <v>1753</v>
      </c>
      <c r="C312" s="40"/>
      <c r="D312" s="41" t="s">
        <v>607</v>
      </c>
      <c r="E312" s="40">
        <f>INDEX(Liste[],$E$2,215)</f>
        <v>0</v>
      </c>
      <c r="F312" s="57">
        <f>INDEX(Liste[],$E$2,215)</f>
        <v>0</v>
      </c>
      <c r="G312" s="57">
        <f>INDEX(Liste[],$E$2,216)</f>
        <v>0</v>
      </c>
      <c r="I312" s="7" t="str">
        <f t="shared" si="23"/>
        <v>GL</v>
      </c>
      <c r="J312" s="7" t="str">
        <f t="shared" si="26"/>
        <v>GL</v>
      </c>
      <c r="K312" s="7" t="str">
        <f t="shared" si="25"/>
        <v>GL(N1)</v>
      </c>
      <c r="L312" s="163" t="str">
        <f>IFERROR(VLOOKUP(D312,Transco!B:E,4,FALSE),"")</f>
        <v>=INDEX(Liste;$E$2;215)</v>
      </c>
      <c r="M312" s="7" t="str">
        <f>IFERROR(VLOOKUP(J312,Transco!B:E,4,FALSE),"")</f>
        <v>=INDEX(Liste;$E$2;215)</v>
      </c>
      <c r="N312" s="7" t="str">
        <f>IFERROR(VLOOKUP(K312,Transco!B:E,4,FALSE),"")</f>
        <v>=INDEX(Liste;$E$2;216)</v>
      </c>
      <c r="O312" s="85" t="s">
        <v>3115</v>
      </c>
      <c r="P312" s="7">
        <f>INDEX(Liste[],$E$2,230)</f>
        <v>0</v>
      </c>
    </row>
    <row r="313" spans="2:16" x14ac:dyDescent="0.2">
      <c r="B313" s="39" t="s">
        <v>1754</v>
      </c>
      <c r="C313" s="40"/>
      <c r="D313" s="41" t="s">
        <v>585</v>
      </c>
      <c r="E313" s="40">
        <f>INDEX(Liste[],$E$2,193)</f>
        <v>0</v>
      </c>
      <c r="F313" s="57">
        <f>INDEX(Liste[],$E$2,193)</f>
        <v>0</v>
      </c>
      <c r="G313" s="57">
        <f>INDEX(Liste[],$E$2,194)</f>
        <v>0</v>
      </c>
      <c r="I313" s="7" t="str">
        <f t="shared" si="23"/>
        <v>GM</v>
      </c>
      <c r="J313" s="7" t="str">
        <f t="shared" si="26"/>
        <v>GM</v>
      </c>
      <c r="K313" s="7" t="str">
        <f t="shared" si="25"/>
        <v>GM(N1)</v>
      </c>
      <c r="L313" s="163" t="str">
        <f>IFERROR(VLOOKUP(D313,Transco!B:E,4,FALSE),"")</f>
        <v>=INDEX(Liste;$E$2;193)</v>
      </c>
      <c r="M313" s="7" t="str">
        <f>IFERROR(VLOOKUP(J313,Transco!B:E,4,FALSE),"")</f>
        <v>=INDEX(Liste;$E$2;193)</v>
      </c>
      <c r="N313" s="7" t="str">
        <f>IFERROR(VLOOKUP(K313,Transco!B:E,4,FALSE),"")</f>
        <v>=INDEX(Liste;$E$2;194)</v>
      </c>
      <c r="O313" s="85" t="s">
        <v>3116</v>
      </c>
      <c r="P313" s="7">
        <f>INDEX(Liste[],$E$2,231)</f>
        <v>0</v>
      </c>
    </row>
    <row r="314" spans="2:16" x14ac:dyDescent="0.2">
      <c r="B314" s="39" t="s">
        <v>1755</v>
      </c>
      <c r="C314" s="40"/>
      <c r="D314" s="41" t="s">
        <v>619</v>
      </c>
      <c r="E314" s="40">
        <f>INDEX(Liste[],$E$2,227)</f>
        <v>0</v>
      </c>
      <c r="F314" s="57">
        <f>INDEX(Liste[],$E$2,227)</f>
        <v>0</v>
      </c>
      <c r="G314" s="57">
        <f>INDEX(Liste[],$E$2,228)</f>
        <v>0</v>
      </c>
      <c r="I314" s="7" t="str">
        <f t="shared" si="23"/>
        <v>GN</v>
      </c>
      <c r="J314" s="7" t="str">
        <f t="shared" si="26"/>
        <v>GN</v>
      </c>
      <c r="K314" s="7" t="str">
        <f t="shared" si="25"/>
        <v>GN(N1)</v>
      </c>
      <c r="L314" s="163" t="str">
        <f>IFERROR(VLOOKUP(D314,Transco!B:E,4,FALSE),"")</f>
        <v>=INDEX(Liste;$E$2;227)</v>
      </c>
      <c r="M314" s="7" t="str">
        <f>IFERROR(VLOOKUP(J314,Transco!B:E,4,FALSE),"")</f>
        <v>=INDEX(Liste;$E$2;227)</v>
      </c>
      <c r="N314" s="7" t="str">
        <f>IFERROR(VLOOKUP(K314,Transco!B:E,4,FALSE),"")</f>
        <v>=INDEX(Liste;$E$2;228)</v>
      </c>
      <c r="O314" s="85" t="s">
        <v>3117</v>
      </c>
      <c r="P314" s="7">
        <f>INDEX(Liste[],$E$2,232)</f>
        <v>0</v>
      </c>
    </row>
    <row r="315" spans="2:16" x14ac:dyDescent="0.2">
      <c r="B315" s="39" t="s">
        <v>1756</v>
      </c>
      <c r="C315" s="40"/>
      <c r="D315" s="41" t="s">
        <v>645</v>
      </c>
      <c r="E315" s="40">
        <f>INDEX(Liste[],$E$2,253)</f>
        <v>0</v>
      </c>
      <c r="F315" s="57">
        <f>INDEX(Liste[],$E$2,253)</f>
        <v>0</v>
      </c>
      <c r="G315" s="57">
        <f>INDEX(Liste[],$E$2,254)</f>
        <v>0</v>
      </c>
      <c r="I315" s="7" t="str">
        <f t="shared" si="23"/>
        <v>GO</v>
      </c>
      <c r="J315" s="7" t="str">
        <f t="shared" si="26"/>
        <v>GO</v>
      </c>
      <c r="K315" s="7" t="str">
        <f t="shared" si="25"/>
        <v>GO(N1)</v>
      </c>
      <c r="L315" s="163" t="str">
        <f>IFERROR(VLOOKUP(D315,Transco!B:E,4,FALSE),"")</f>
        <v>=INDEX(Liste;$E$2;253)</v>
      </c>
      <c r="M315" s="7" t="str">
        <f>IFERROR(VLOOKUP(J315,Transco!B:E,4,FALSE),"")</f>
        <v>=INDEX(Liste;$E$2;253)</v>
      </c>
      <c r="N315" s="7" t="str">
        <f>IFERROR(VLOOKUP(K315,Transco!B:E,4,FALSE),"")</f>
        <v>=INDEX(Liste;$E$2;254)</v>
      </c>
      <c r="O315" s="85" t="s">
        <v>3118</v>
      </c>
      <c r="P315" s="7">
        <f>INDEX(Liste[],$E$2,233)</f>
        <v>0</v>
      </c>
    </row>
    <row r="316" spans="2:16" x14ac:dyDescent="0.2">
      <c r="G316" s="70">
        <f>INDEX(Liste[],$E$2,302)</f>
        <v>0</v>
      </c>
      <c r="I316" s="7">
        <f t="shared" si="23"/>
        <v>0</v>
      </c>
      <c r="J316" s="7">
        <f t="shared" si="26"/>
        <v>0</v>
      </c>
      <c r="L316" s="163" t="str">
        <f>IFERROR(VLOOKUP(D316,Transco!B:E,4,FALSE),"")</f>
        <v/>
      </c>
      <c r="M316" s="7" t="str">
        <f>IFERROR(VLOOKUP(J316,Transco!B:E,4,FALSE),"")</f>
        <v/>
      </c>
      <c r="N316" s="7" t="str">
        <f>IFERROR(VLOOKUP(K316,Transco!B:E,4,FALSE),"")</f>
        <v/>
      </c>
      <c r="O316" s="85" t="s">
        <v>280</v>
      </c>
      <c r="P316" s="7">
        <f>INDEX(Liste[],$E$2,234)</f>
        <v>0</v>
      </c>
    </row>
    <row r="317" spans="2:16" x14ac:dyDescent="0.2">
      <c r="B317" s="111" t="s">
        <v>1757</v>
      </c>
      <c r="C317" s="112"/>
      <c r="D317" s="113" t="s">
        <v>667</v>
      </c>
      <c r="E317" s="112">
        <f>INDEX(Liste[],$E$2,275)</f>
        <v>4000</v>
      </c>
      <c r="F317" s="126">
        <f>INDEX(Liste[],$E$2,275)</f>
        <v>4000</v>
      </c>
      <c r="G317" s="126">
        <f>INDEX(Liste[],$E$2,276)</f>
        <v>13000</v>
      </c>
      <c r="I317" s="7" t="str">
        <f t="shared" si="23"/>
        <v>GP</v>
      </c>
      <c r="J317" s="7" t="str">
        <f t="shared" si="26"/>
        <v>GP</v>
      </c>
      <c r="K317" s="7" t="str">
        <f>D317&amp;"(N1)"</f>
        <v>GP(N1)</v>
      </c>
      <c r="L317" s="163" t="str">
        <f>IFERROR(VLOOKUP(D317,Transco!B:E,4,FALSE),"")</f>
        <v>=INDEX(Liste;$E$2;275)</v>
      </c>
      <c r="M317" s="7" t="str">
        <f>IFERROR(VLOOKUP(J317,Transco!B:E,4,FALSE),"")</f>
        <v>=INDEX(Liste;$E$2;275)</v>
      </c>
      <c r="N317" s="7" t="str">
        <f>IFERROR(VLOOKUP(K317,Transco!B:E,4,FALSE),"")</f>
        <v>=INDEX(Liste;$E$2;276)</v>
      </c>
      <c r="O317" s="85" t="s">
        <v>281</v>
      </c>
      <c r="P317" s="7">
        <f>INDEX(Liste[],$E$2,235)</f>
        <v>0</v>
      </c>
    </row>
    <row r="318" spans="2:16" x14ac:dyDescent="0.2">
      <c r="G318" s="70">
        <f>INDEX(Liste[],$E$2,302)</f>
        <v>0</v>
      </c>
      <c r="I318" s="7">
        <f t="shared" si="23"/>
        <v>0</v>
      </c>
      <c r="J318" s="7">
        <f t="shared" si="26"/>
        <v>0</v>
      </c>
      <c r="L318" s="163" t="str">
        <f>IFERROR(VLOOKUP(D318,Transco!B:E,4,FALSE),"")</f>
        <v/>
      </c>
      <c r="M318" s="7" t="str">
        <f>IFERROR(VLOOKUP(J318,Transco!B:E,4,FALSE),"")</f>
        <v/>
      </c>
      <c r="N318" s="7" t="str">
        <f>IFERROR(VLOOKUP(K318,Transco!B:E,4,FALSE),"")</f>
        <v/>
      </c>
      <c r="O318" s="85" t="s">
        <v>3119</v>
      </c>
      <c r="P318" s="7">
        <f>INDEX(Liste[],$E$2,237)</f>
        <v>0</v>
      </c>
    </row>
    <row r="319" spans="2:16" x14ac:dyDescent="0.2">
      <c r="B319" s="105" t="s">
        <v>1758</v>
      </c>
      <c r="G319" s="70">
        <f>INDEX(Liste[],$E$2,302)</f>
        <v>0</v>
      </c>
      <c r="I319" s="7">
        <f t="shared" si="23"/>
        <v>0</v>
      </c>
      <c r="J319" s="7">
        <f t="shared" si="26"/>
        <v>0</v>
      </c>
      <c r="L319" s="163" t="str">
        <f>IFERROR(VLOOKUP(D319,Transco!B:E,4,FALSE),"")</f>
        <v/>
      </c>
      <c r="M319" s="7" t="str">
        <f>IFERROR(VLOOKUP(J319,Transco!B:E,4,FALSE),"")</f>
        <v/>
      </c>
      <c r="N319" s="7" t="str">
        <f>IFERROR(VLOOKUP(K319,Transco!B:E,4,FALSE),"")</f>
        <v/>
      </c>
      <c r="O319" s="85" t="s">
        <v>3120</v>
      </c>
      <c r="P319" s="7">
        <f>INDEX(Liste[],$E$2,238)</f>
        <v>0</v>
      </c>
    </row>
    <row r="320" spans="2:16" x14ac:dyDescent="0.2">
      <c r="B320" s="39" t="s">
        <v>1759</v>
      </c>
      <c r="C320" s="40"/>
      <c r="D320" s="41" t="s">
        <v>629</v>
      </c>
      <c r="E320" s="40">
        <f>INDEX(Liste[],$E$2,237)</f>
        <v>0</v>
      </c>
      <c r="F320" s="57">
        <f>INDEX(Liste[],$E$2,237)</f>
        <v>0</v>
      </c>
      <c r="G320" s="57">
        <f>INDEX(Liste[],$E$2,238)</f>
        <v>0</v>
      </c>
      <c r="I320" s="7" t="str">
        <f t="shared" si="23"/>
        <v>GQ</v>
      </c>
      <c r="J320" s="7" t="str">
        <f t="shared" si="26"/>
        <v>GQ</v>
      </c>
      <c r="K320" s="7" t="str">
        <f>D320&amp;"(N1)"</f>
        <v>GQ(N1)</v>
      </c>
      <c r="L320" s="163" t="str">
        <f>IFERROR(VLOOKUP(D320,Transco!B:E,4,FALSE),"")</f>
        <v>=INDEX(Liste;$E$2;237)</v>
      </c>
      <c r="M320" s="7" t="str">
        <f>IFERROR(VLOOKUP(J320,Transco!B:E,4,FALSE),"")</f>
        <v>=INDEX(Liste;$E$2;237)</v>
      </c>
      <c r="N320" s="7" t="str">
        <f>IFERROR(VLOOKUP(K320,Transco!B:E,4,FALSE),"")</f>
        <v>=INDEX(Liste;$E$2;238)</v>
      </c>
      <c r="O320" s="85" t="s">
        <v>282</v>
      </c>
      <c r="P320" s="7">
        <f>INDEX(Liste[],$E$2,239)</f>
        <v>679000</v>
      </c>
    </row>
    <row r="321" spans="2:16" x14ac:dyDescent="0.2">
      <c r="B321" s="39" t="s">
        <v>1760</v>
      </c>
      <c r="C321" s="40"/>
      <c r="D321" s="41" t="s">
        <v>633</v>
      </c>
      <c r="E321" s="40">
        <f>INDEX(Liste[],$E$2,241)</f>
        <v>0</v>
      </c>
      <c r="F321" s="57">
        <f>INDEX(Liste[],$E$2,241)</f>
        <v>0</v>
      </c>
      <c r="G321" s="57">
        <f>INDEX(Liste[],$E$2,242)</f>
        <v>0</v>
      </c>
      <c r="I321" s="7" t="str">
        <f t="shared" si="23"/>
        <v>GR</v>
      </c>
      <c r="J321" s="7" t="str">
        <f t="shared" si="26"/>
        <v>GR</v>
      </c>
      <c r="K321" s="7" t="str">
        <f>D321&amp;"(N1)"</f>
        <v>GR(N1)</v>
      </c>
      <c r="L321" s="163" t="str">
        <f>IFERROR(VLOOKUP(D321,Transco!B:E,4,FALSE),"")</f>
        <v>=INDEX(Liste;$E$2;241)</v>
      </c>
      <c r="M321" s="7" t="str">
        <f>IFERROR(VLOOKUP(J321,Transco!B:E,4,FALSE),"")</f>
        <v>=INDEX(Liste;$E$2;241)</v>
      </c>
      <c r="N321" s="7" t="str">
        <f>IFERROR(VLOOKUP(K321,Transco!B:E,4,FALSE),"")</f>
        <v>=INDEX(Liste;$E$2;242)</v>
      </c>
      <c r="O321" s="85" t="s">
        <v>283</v>
      </c>
      <c r="P321" s="7">
        <f>INDEX(Liste[],$E$2,240)</f>
        <v>599000</v>
      </c>
    </row>
    <row r="322" spans="2:16" x14ac:dyDescent="0.2">
      <c r="B322" s="39" t="s">
        <v>1761</v>
      </c>
      <c r="C322" s="40"/>
      <c r="D322" s="41" t="s">
        <v>617</v>
      </c>
      <c r="E322" s="40">
        <f>INDEX(Liste[],$E$2,225)</f>
        <v>0</v>
      </c>
      <c r="F322" s="57">
        <f>INDEX(Liste[],$E$2,225)</f>
        <v>0</v>
      </c>
      <c r="G322" s="57">
        <f>INDEX(Liste[],$E$2,226)</f>
        <v>0</v>
      </c>
      <c r="I322" s="7" t="str">
        <f t="shared" si="23"/>
        <v>GS</v>
      </c>
      <c r="J322" s="7" t="str">
        <f t="shared" si="26"/>
        <v>GS</v>
      </c>
      <c r="K322" s="7" t="str">
        <f>D322&amp;"(N1)"</f>
        <v>GS(N1)</v>
      </c>
      <c r="L322" s="163" t="str">
        <f>IFERROR(VLOOKUP(D322,Transco!B:E,4,FALSE),"")</f>
        <v>=INDEX(Liste;$E$2;225)</v>
      </c>
      <c r="M322" s="7" t="str">
        <f>IFERROR(VLOOKUP(J322,Transco!B:E,4,FALSE),"")</f>
        <v>=INDEX(Liste;$E$2;225)</v>
      </c>
      <c r="N322" s="7" t="str">
        <f>IFERROR(VLOOKUP(K322,Transco!B:E,4,FALSE),"")</f>
        <v>=INDEX(Liste;$E$2;226)</v>
      </c>
      <c r="O322" s="85" t="s">
        <v>3121</v>
      </c>
      <c r="P322" s="7">
        <f>INDEX(Liste[],$E$2,241)</f>
        <v>0</v>
      </c>
    </row>
    <row r="323" spans="2:16" x14ac:dyDescent="0.2">
      <c r="B323" s="39" t="s">
        <v>1762</v>
      </c>
      <c r="C323" s="40"/>
      <c r="D323" s="41" t="s">
        <v>613</v>
      </c>
      <c r="E323" s="40">
        <f>INDEX(Liste[],$E$2,221)</f>
        <v>0</v>
      </c>
      <c r="F323" s="57">
        <f>INDEX(Liste[],$E$2,221)</f>
        <v>0</v>
      </c>
      <c r="G323" s="57">
        <f>INDEX(Liste[],$E$2,222)</f>
        <v>0</v>
      </c>
      <c r="I323" s="7" t="str">
        <f t="shared" si="23"/>
        <v>GT</v>
      </c>
      <c r="J323" s="7" t="str">
        <f t="shared" si="26"/>
        <v>GT</v>
      </c>
      <c r="K323" s="7" t="str">
        <f>D323&amp;"(N1)"</f>
        <v>GT(N1)</v>
      </c>
      <c r="L323" s="163" t="str">
        <f>IFERROR(VLOOKUP(D323,Transco!B:E,4,FALSE),"")</f>
        <v>=INDEX(Liste;$E$2;221)</v>
      </c>
      <c r="M323" s="7" t="str">
        <f>IFERROR(VLOOKUP(J323,Transco!B:E,4,FALSE),"")</f>
        <v>=INDEX(Liste;$E$2;221)</v>
      </c>
      <c r="N323" s="7" t="str">
        <f>IFERROR(VLOOKUP(K323,Transco!B:E,4,FALSE),"")</f>
        <v>=INDEX(Liste;$E$2;222)</v>
      </c>
      <c r="O323" s="85" t="s">
        <v>3122</v>
      </c>
      <c r="P323" s="7">
        <f>INDEX(Liste[],$E$2,242)</f>
        <v>0</v>
      </c>
    </row>
    <row r="324" spans="2:16" x14ac:dyDescent="0.2">
      <c r="C324" s="105"/>
      <c r="D324" s="106"/>
      <c r="E324" s="105"/>
      <c r="G324" s="70">
        <f>INDEX(Liste[],$E$2,302)</f>
        <v>0</v>
      </c>
      <c r="I324" s="7">
        <f t="shared" si="23"/>
        <v>0</v>
      </c>
      <c r="J324" s="7">
        <f t="shared" si="26"/>
        <v>0</v>
      </c>
      <c r="L324" s="163" t="str">
        <f>IFERROR(VLOOKUP(D324,Transco!B:E,4,FALSE),"")</f>
        <v/>
      </c>
      <c r="M324" s="7" t="str">
        <f>IFERROR(VLOOKUP(J324,Transco!B:E,4,FALSE),"")</f>
        <v/>
      </c>
      <c r="N324" s="7" t="str">
        <f>IFERROR(VLOOKUP(K324,Transco!B:E,4,FALSE),"")</f>
        <v/>
      </c>
      <c r="O324" s="85" t="s">
        <v>286</v>
      </c>
      <c r="P324" s="7">
        <f>INDEX(Liste[],$E$2,243)</f>
        <v>0</v>
      </c>
    </row>
    <row r="325" spans="2:16" ht="13.5" thickBot="1" x14ac:dyDescent="0.25">
      <c r="B325" s="111" t="s">
        <v>1763</v>
      </c>
      <c r="C325" s="112"/>
      <c r="D325" s="113" t="s">
        <v>651</v>
      </c>
      <c r="E325" s="112">
        <f>INDEX(Liste[],$E$2,259)</f>
        <v>-592000</v>
      </c>
      <c r="F325" s="126">
        <f>INDEX(Liste[],$E$2,259)</f>
        <v>-592000</v>
      </c>
      <c r="G325" s="126">
        <f>INDEX(Liste[],$E$2,260)</f>
        <v>-342000</v>
      </c>
      <c r="I325" s="7" t="str">
        <f t="shared" si="23"/>
        <v>GV</v>
      </c>
      <c r="J325" s="7" t="str">
        <f t="shared" si="26"/>
        <v>GV</v>
      </c>
      <c r="K325" s="7" t="str">
        <f>D325&amp;"(N1)"</f>
        <v>GV(N1)</v>
      </c>
      <c r="L325" s="163" t="str">
        <f>IFERROR(VLOOKUP(D325,Transco!B:E,4,FALSE),"")</f>
        <v>=INDEX(Liste;$E$2;259)</v>
      </c>
      <c r="M325" s="7" t="str">
        <f>IFERROR(VLOOKUP(J325,Transco!B:E,4,FALSE),"")</f>
        <v>=INDEX(Liste;$E$2;259)</v>
      </c>
      <c r="N325" s="7" t="str">
        <f>IFERROR(VLOOKUP(K325,Transco!B:E,4,FALSE),"")</f>
        <v>=INDEX(Liste;$E$2;260)</v>
      </c>
      <c r="O325" s="85" t="s">
        <v>287</v>
      </c>
      <c r="P325" s="7">
        <f>INDEX(Liste[],$E$2,244)</f>
        <v>0</v>
      </c>
    </row>
    <row r="326" spans="2:16" x14ac:dyDescent="0.2">
      <c r="B326" s="59"/>
      <c r="C326" s="59"/>
      <c r="D326" s="59"/>
      <c r="E326" s="60"/>
      <c r="F326" s="72"/>
      <c r="G326" s="72">
        <f>INDEX(Liste[],$E$2,302)</f>
        <v>0</v>
      </c>
      <c r="I326" s="7">
        <f t="shared" si="23"/>
        <v>0</v>
      </c>
      <c r="J326" s="7">
        <f t="shared" si="26"/>
        <v>0</v>
      </c>
      <c r="L326" s="163" t="str">
        <f>IFERROR(VLOOKUP(D326,Transco!B:E,4,FALSE),"")</f>
        <v/>
      </c>
      <c r="M326" s="7" t="str">
        <f>IFERROR(VLOOKUP(J326,Transco!B:E,4,FALSE),"")</f>
        <v/>
      </c>
      <c r="N326" s="7" t="str">
        <f>IFERROR(VLOOKUP(K326,Transco!B:E,4,FALSE),"")</f>
        <v/>
      </c>
      <c r="O326" s="85" t="s">
        <v>288</v>
      </c>
      <c r="P326" s="7">
        <f>INDEX(Liste[],$E$2,245)</f>
        <v>0</v>
      </c>
    </row>
    <row r="327" spans="2:16" x14ac:dyDescent="0.2">
      <c r="G327" s="70">
        <f>INDEX(Liste[],$E$2,302)</f>
        <v>0</v>
      </c>
      <c r="I327" s="7">
        <f t="shared" si="23"/>
        <v>0</v>
      </c>
      <c r="J327" s="7">
        <f t="shared" si="26"/>
        <v>0</v>
      </c>
      <c r="L327" s="163" t="str">
        <f>IFERROR(VLOOKUP(D327,Transco!B:E,4,FALSE),"")</f>
        <v/>
      </c>
      <c r="M327" s="7" t="str">
        <f>IFERROR(VLOOKUP(J327,Transco!B:E,4,FALSE),"")</f>
        <v/>
      </c>
      <c r="N327" s="7" t="str">
        <f>IFERROR(VLOOKUP(K327,Transco!B:E,4,FALSE),"")</f>
        <v/>
      </c>
      <c r="O327" s="85" t="s">
        <v>289</v>
      </c>
      <c r="P327" s="7">
        <f>INDEX(Liste[],$E$2,246)</f>
        <v>0</v>
      </c>
    </row>
    <row r="328" spans="2:16" ht="13.5" thickBot="1" x14ac:dyDescent="0.25">
      <c r="B328" s="111" t="s">
        <v>1764</v>
      </c>
      <c r="C328" s="112"/>
      <c r="D328" s="113" t="s">
        <v>647</v>
      </c>
      <c r="E328" s="112">
        <f>INDEX(Liste[],$E$2,255)</f>
        <v>8552000</v>
      </c>
      <c r="F328" s="126">
        <f>INDEX(Liste[],$E$2,255)</f>
        <v>8552000</v>
      </c>
      <c r="G328" s="126">
        <f>INDEX(Liste[],$E$2,256)</f>
        <v>6996000</v>
      </c>
      <c r="I328" s="7" t="str">
        <f t="shared" si="23"/>
        <v>GW</v>
      </c>
      <c r="J328" s="7" t="str">
        <f t="shared" si="26"/>
        <v>GW</v>
      </c>
      <c r="K328" s="7" t="str">
        <f>D328&amp;"(N1)"</f>
        <v>GW(N1)</v>
      </c>
      <c r="L328" s="163" t="str">
        <f>IFERROR(VLOOKUP(D328,Transco!B:E,4,FALSE),"")</f>
        <v>=INDEX(Liste;$E$2;255)</v>
      </c>
      <c r="M328" s="7" t="str">
        <f>IFERROR(VLOOKUP(J328,Transco!B:E,4,FALSE),"")</f>
        <v>=INDEX(Liste;$E$2;255)</v>
      </c>
      <c r="N328" s="7" t="str">
        <f>IFERROR(VLOOKUP(K328,Transco!B:E,4,FALSE),"")</f>
        <v>=INDEX(Liste;$E$2;256)</v>
      </c>
      <c r="O328" s="85" t="s">
        <v>290</v>
      </c>
      <c r="P328" s="7">
        <f>INDEX(Liste[],$E$2,247)</f>
        <v>0</v>
      </c>
    </row>
    <row r="329" spans="2:16" x14ac:dyDescent="0.2">
      <c r="B329" s="59"/>
      <c r="C329" s="59"/>
      <c r="D329" s="59"/>
      <c r="E329" s="60"/>
      <c r="F329" s="72"/>
      <c r="G329" s="72">
        <f>INDEX(Liste[],$E$2,302)</f>
        <v>0</v>
      </c>
      <c r="I329" s="7">
        <f t="shared" si="23"/>
        <v>0</v>
      </c>
      <c r="J329" s="7">
        <f t="shared" si="26"/>
        <v>0</v>
      </c>
      <c r="L329" s="163" t="str">
        <f>IFERROR(VLOOKUP(D329,Transco!B:E,4,FALSE),"")</f>
        <v/>
      </c>
      <c r="M329" s="7" t="str">
        <f>IFERROR(VLOOKUP(J329,Transco!B:E,4,FALSE),"")</f>
        <v/>
      </c>
      <c r="N329" s="7" t="str">
        <f>IFERROR(VLOOKUP(K329,Transco!B:E,4,FALSE),"")</f>
        <v/>
      </c>
      <c r="O329" s="85" t="s">
        <v>291</v>
      </c>
      <c r="P329" s="7">
        <f>INDEX(Liste[],$E$2,248)</f>
        <v>0</v>
      </c>
    </row>
    <row r="330" spans="2:16" x14ac:dyDescent="0.2">
      <c r="B330" s="38"/>
      <c r="C330" s="38"/>
      <c r="D330" s="103"/>
      <c r="F330" s="142"/>
      <c r="G330" s="70">
        <f>INDEX(Liste[],$E$2,302)</f>
        <v>0</v>
      </c>
      <c r="I330" s="7">
        <f t="shared" si="23"/>
        <v>0</v>
      </c>
      <c r="J330" s="7">
        <f t="shared" si="26"/>
        <v>0</v>
      </c>
      <c r="L330" s="163" t="str">
        <f>IFERROR(VLOOKUP(D330,Transco!B:E,4,FALSE),"")</f>
        <v/>
      </c>
      <c r="M330" s="7" t="str">
        <f>IFERROR(VLOOKUP(J330,Transco!B:E,4,FALSE),"")</f>
        <v/>
      </c>
      <c r="N330" s="7" t="str">
        <f>IFERROR(VLOOKUP(K330,Transco!B:E,4,FALSE),"")</f>
        <v/>
      </c>
      <c r="O330" s="85" t="s">
        <v>292</v>
      </c>
      <c r="P330" s="7">
        <f>INDEX(Liste[],$E$2,249)</f>
        <v>0</v>
      </c>
    </row>
    <row r="331" spans="2:16" x14ac:dyDescent="0.2">
      <c r="B331" s="105" t="s">
        <v>1765</v>
      </c>
      <c r="C331" s="105"/>
      <c r="D331" s="106"/>
      <c r="E331" s="106"/>
      <c r="G331" s="70">
        <f>INDEX(Liste[],$E$2,302)</f>
        <v>0</v>
      </c>
      <c r="I331" s="7">
        <f t="shared" si="23"/>
        <v>0</v>
      </c>
      <c r="J331" s="7">
        <f t="shared" si="26"/>
        <v>0</v>
      </c>
      <c r="L331" s="163" t="str">
        <f>IFERROR(VLOOKUP(D331,Transco!B:E,4,FALSE),"")</f>
        <v/>
      </c>
      <c r="M331" s="7" t="str">
        <f>IFERROR(VLOOKUP(J331,Transco!B:E,4,FALSE),"")</f>
        <v/>
      </c>
      <c r="N331" s="7" t="str">
        <f>IFERROR(VLOOKUP(K331,Transco!B:E,4,FALSE),"")</f>
        <v/>
      </c>
      <c r="O331" s="85" t="s">
        <v>293</v>
      </c>
      <c r="P331" s="7">
        <f>INDEX(Liste[],$E$2,250)</f>
        <v>0</v>
      </c>
    </row>
    <row r="332" spans="2:16" x14ac:dyDescent="0.2">
      <c r="B332" s="39" t="s">
        <v>1766</v>
      </c>
      <c r="C332" s="40"/>
      <c r="D332" s="41" t="s">
        <v>577</v>
      </c>
      <c r="E332" s="40">
        <f>INDEX(Liste[],$E$2,185)</f>
        <v>0</v>
      </c>
      <c r="F332" s="57">
        <f>INDEX(Liste[],$E$2,185)</f>
        <v>0</v>
      </c>
      <c r="G332" s="57">
        <f>INDEX(Liste[],$E$2,186)</f>
        <v>0</v>
      </c>
      <c r="I332" s="7" t="str">
        <f t="shared" si="23"/>
        <v>HA</v>
      </c>
      <c r="J332" s="7" t="str">
        <f t="shared" si="26"/>
        <v>HA</v>
      </c>
      <c r="K332" s="7" t="str">
        <f>D332&amp;"(N1)"</f>
        <v>HA(N1)</v>
      </c>
      <c r="L332" s="163" t="str">
        <f>IFERROR(VLOOKUP(D332,Transco!B:E,4,FALSE),"")</f>
        <v>=INDEX(Liste;$E$2;185)</v>
      </c>
      <c r="M332" s="7" t="str">
        <f>IFERROR(VLOOKUP(J332,Transco!B:E,4,FALSE),"")</f>
        <v>=INDEX(Liste;$E$2;185)</v>
      </c>
      <c r="N332" s="7" t="str">
        <f>IFERROR(VLOOKUP(K332,Transco!B:E,4,FALSE),"")</f>
        <v>=INDEX(Liste;$E$2;186)</v>
      </c>
      <c r="O332" s="85" t="s">
        <v>3123</v>
      </c>
      <c r="P332" s="7">
        <f>INDEX(Liste[],$E$2,251)</f>
        <v>0</v>
      </c>
    </row>
    <row r="333" spans="2:16" x14ac:dyDescent="0.2">
      <c r="B333" s="39" t="s">
        <v>1767</v>
      </c>
      <c r="C333" s="40"/>
      <c r="D333" s="41" t="s">
        <v>579</v>
      </c>
      <c r="E333" s="40">
        <f>INDEX(Liste[],$E$2,187)</f>
        <v>0</v>
      </c>
      <c r="F333" s="57">
        <f>INDEX(Liste[],$E$2,187)</f>
        <v>0</v>
      </c>
      <c r="G333" s="57">
        <f>INDEX(Liste[],$E$2,188)</f>
        <v>0</v>
      </c>
      <c r="I333" s="7" t="str">
        <f t="shared" si="23"/>
        <v>HB</v>
      </c>
      <c r="J333" s="7" t="str">
        <f t="shared" si="26"/>
        <v>HB</v>
      </c>
      <c r="K333" s="7" t="str">
        <f>D333&amp;"(N1)"</f>
        <v>HB(N1)</v>
      </c>
      <c r="L333" s="163" t="str">
        <f>IFERROR(VLOOKUP(D333,Transco!B:E,4,FALSE),"")</f>
        <v>=INDEX(Liste;$E$2;187)</v>
      </c>
      <c r="M333" s="7" t="str">
        <f>IFERROR(VLOOKUP(J333,Transco!B:E,4,FALSE),"")</f>
        <v>=INDEX(Liste;$E$2;187)</v>
      </c>
      <c r="N333" s="7" t="str">
        <f>IFERROR(VLOOKUP(K333,Transco!B:E,4,FALSE),"")</f>
        <v>=INDEX(Liste;$E$2;188)</v>
      </c>
      <c r="O333" s="85" t="s">
        <v>3124</v>
      </c>
      <c r="P333" s="7">
        <f>INDEX(Liste[],$E$2,252)</f>
        <v>0</v>
      </c>
    </row>
    <row r="334" spans="2:16" x14ac:dyDescent="0.2">
      <c r="B334" s="39" t="s">
        <v>1754</v>
      </c>
      <c r="C334" s="40"/>
      <c r="D334" s="41" t="s">
        <v>655</v>
      </c>
      <c r="E334" s="40">
        <f>INDEX(Liste[],$E$2,263)</f>
        <v>0</v>
      </c>
      <c r="F334" s="57">
        <f>INDEX(Liste[],$E$2,263)</f>
        <v>0</v>
      </c>
      <c r="G334" s="57">
        <f>INDEX(Liste[],$E$2,264)</f>
        <v>0</v>
      </c>
      <c r="I334" s="7" t="str">
        <f t="shared" ref="I334:I365" si="27">D334</f>
        <v>HC</v>
      </c>
      <c r="J334" s="7" t="str">
        <f t="shared" si="26"/>
        <v>HC</v>
      </c>
      <c r="K334" s="7" t="str">
        <f>D334&amp;"(N1)"</f>
        <v>HC(N1)</v>
      </c>
      <c r="L334" s="163" t="str">
        <f>IFERROR(VLOOKUP(D334,Transco!B:E,4,FALSE),"")</f>
        <v>=INDEX(Liste;$E$2;263)</v>
      </c>
      <c r="M334" s="7" t="str">
        <f>IFERROR(VLOOKUP(J334,Transco!B:E,4,FALSE),"")</f>
        <v>=INDEX(Liste;$E$2;263)</v>
      </c>
      <c r="N334" s="7" t="str">
        <f>IFERROR(VLOOKUP(K334,Transco!B:E,4,FALSE),"")</f>
        <v>=INDEX(Liste;$E$2;264)</v>
      </c>
      <c r="O334" s="85" t="s">
        <v>3125</v>
      </c>
      <c r="P334" s="7">
        <f>INDEX(Liste[],$E$2,253)</f>
        <v>0</v>
      </c>
    </row>
    <row r="335" spans="2:16" x14ac:dyDescent="0.2">
      <c r="B335" s="38"/>
      <c r="C335" s="38"/>
      <c r="D335" s="103"/>
      <c r="F335" s="142"/>
      <c r="G335" s="70">
        <f>INDEX(Liste[],$E$2,302)</f>
        <v>0</v>
      </c>
      <c r="I335" s="7">
        <f t="shared" si="27"/>
        <v>0</v>
      </c>
      <c r="J335" s="7">
        <f t="shared" si="26"/>
        <v>0</v>
      </c>
      <c r="L335" s="163" t="str">
        <f>IFERROR(VLOOKUP(D335,Transco!B:E,4,FALSE),"")</f>
        <v/>
      </c>
      <c r="M335" s="7" t="str">
        <f>IFERROR(VLOOKUP(J335,Transco!B:E,4,FALSE),"")</f>
        <v/>
      </c>
      <c r="N335" s="7" t="str">
        <f>IFERROR(VLOOKUP(K335,Transco!B:E,4,FALSE),"")</f>
        <v/>
      </c>
      <c r="O335" s="85" t="s">
        <v>3126</v>
      </c>
      <c r="P335" s="7">
        <f>INDEX(Liste[],$E$2,254)</f>
        <v>0</v>
      </c>
    </row>
    <row r="336" spans="2:16" x14ac:dyDescent="0.2">
      <c r="B336" s="111" t="s">
        <v>1768</v>
      </c>
      <c r="C336" s="112"/>
      <c r="D336" s="113" t="s">
        <v>597</v>
      </c>
      <c r="E336" s="112">
        <f>INDEX(Liste[],$E$2,205)</f>
        <v>420000</v>
      </c>
      <c r="F336" s="126">
        <f>INDEX(Liste[],$E$2,205)</f>
        <v>420000</v>
      </c>
      <c r="G336" s="126">
        <f>INDEX(Liste[],$E$2,206)</f>
        <v>327000</v>
      </c>
      <c r="I336" s="7" t="str">
        <f t="shared" si="27"/>
        <v>HD</v>
      </c>
      <c r="J336" s="7" t="str">
        <f t="shared" si="26"/>
        <v>HD</v>
      </c>
      <c r="K336" s="7" t="str">
        <f>D336&amp;"(N1)"</f>
        <v>HD(N1)</v>
      </c>
      <c r="L336" s="163" t="str">
        <f>IFERROR(VLOOKUP(D336,Transco!B:E,4,FALSE),"")</f>
        <v>=INDEX(Liste;$E$2;205)</v>
      </c>
      <c r="M336" s="7" t="str">
        <f>IFERROR(VLOOKUP(J336,Transco!B:E,4,FALSE),"")</f>
        <v>=INDEX(Liste;$E$2;205)</v>
      </c>
      <c r="N336" s="7" t="str">
        <f>IFERROR(VLOOKUP(K336,Transco!B:E,4,FALSE),"")</f>
        <v>=INDEX(Liste;$E$2;206)</v>
      </c>
      <c r="O336" s="85" t="s">
        <v>3127</v>
      </c>
      <c r="P336" s="7">
        <f>INDEX(Liste[],$E$2,255)</f>
        <v>8552000</v>
      </c>
    </row>
    <row r="337" spans="2:16" x14ac:dyDescent="0.2">
      <c r="G337" s="70">
        <f>INDEX(Liste[],$E$2,302)</f>
        <v>0</v>
      </c>
      <c r="I337" s="7">
        <f t="shared" si="27"/>
        <v>0</v>
      </c>
      <c r="J337" s="7">
        <f t="shared" si="26"/>
        <v>0</v>
      </c>
      <c r="L337" s="163" t="str">
        <f>IFERROR(VLOOKUP(D337,Transco!B:E,4,FALSE),"")</f>
        <v/>
      </c>
      <c r="M337" s="7" t="str">
        <f>IFERROR(VLOOKUP(J337,Transco!B:E,4,FALSE),"")</f>
        <v/>
      </c>
      <c r="N337" s="7" t="str">
        <f>IFERROR(VLOOKUP(K337,Transco!B:E,4,FALSE),"")</f>
        <v/>
      </c>
      <c r="O337" s="85" t="s">
        <v>3128</v>
      </c>
      <c r="P337" s="7">
        <f>INDEX(Liste[],$E$2,257)</f>
        <v>9144000</v>
      </c>
    </row>
    <row r="338" spans="2:16" x14ac:dyDescent="0.2">
      <c r="B338" s="105" t="s">
        <v>1769</v>
      </c>
      <c r="C338" s="105"/>
      <c r="D338" s="106"/>
      <c r="F338" s="141"/>
      <c r="G338" s="70">
        <f>INDEX(Liste[],$E$2,302)</f>
        <v>0</v>
      </c>
      <c r="I338" s="7">
        <f t="shared" si="27"/>
        <v>0</v>
      </c>
      <c r="J338" s="7">
        <f t="shared" si="26"/>
        <v>0</v>
      </c>
      <c r="L338" s="163" t="str">
        <f>IFERROR(VLOOKUP(D338,Transco!B:E,4,FALSE),"")</f>
        <v/>
      </c>
      <c r="M338" s="7" t="str">
        <f>IFERROR(VLOOKUP(J338,Transco!B:E,4,FALSE),"")</f>
        <v/>
      </c>
      <c r="N338" s="7" t="str">
        <f>IFERROR(VLOOKUP(K338,Transco!B:E,4,FALSE),"")</f>
        <v/>
      </c>
      <c r="O338" s="85" t="s">
        <v>3129</v>
      </c>
      <c r="P338" s="7">
        <f>INDEX(Liste[],$E$2,258)</f>
        <v>7338000</v>
      </c>
    </row>
    <row r="339" spans="2:16" x14ac:dyDescent="0.2">
      <c r="B339" s="39" t="s">
        <v>1770</v>
      </c>
      <c r="C339" s="40"/>
      <c r="D339" s="41" t="s">
        <v>561</v>
      </c>
      <c r="E339" s="40">
        <f>INDEX(Liste[],$E$2,169)</f>
        <v>0</v>
      </c>
      <c r="F339" s="57">
        <f>INDEX(Liste[],$E$2,169)</f>
        <v>0</v>
      </c>
      <c r="G339" s="57">
        <f>INDEX(Liste[],$E$2,170)</f>
        <v>0</v>
      </c>
      <c r="I339" s="7" t="str">
        <f t="shared" si="27"/>
        <v>HE</v>
      </c>
      <c r="J339" s="7" t="str">
        <f t="shared" si="26"/>
        <v>HE</v>
      </c>
      <c r="K339" s="7" t="str">
        <f>D339&amp;"(N1)"</f>
        <v>HE(N1)</v>
      </c>
      <c r="L339" s="163" t="str">
        <f>IFERROR(VLOOKUP(D339,Transco!B:E,4,FALSE),"")</f>
        <v>=INDEX(Liste;$E$2;169)</v>
      </c>
      <c r="M339" s="7" t="str">
        <f>IFERROR(VLOOKUP(J339,Transco!B:E,4,FALSE),"")</f>
        <v>=INDEX(Liste;$E$2;169)</v>
      </c>
      <c r="N339" s="7" t="str">
        <f>IFERROR(VLOOKUP(K339,Transco!B:E,4,FALSE),"")</f>
        <v>=INDEX(Liste;$E$2;170)</v>
      </c>
      <c r="O339" s="85" t="s">
        <v>3130</v>
      </c>
      <c r="P339" s="7">
        <f>INDEX(Liste[],$E$2,259)</f>
        <v>-592000</v>
      </c>
    </row>
    <row r="340" spans="2:16" x14ac:dyDescent="0.2">
      <c r="B340" s="39" t="s">
        <v>1771</v>
      </c>
      <c r="C340" s="40"/>
      <c r="D340" s="41" t="s">
        <v>563</v>
      </c>
      <c r="E340" s="40">
        <f>INDEX(Liste[],$E$2,171)</f>
        <v>0</v>
      </c>
      <c r="F340" s="57">
        <f>INDEX(Liste[],$E$2,171)</f>
        <v>0</v>
      </c>
      <c r="G340" s="57">
        <f>INDEX(Liste[],$E$2,172)</f>
        <v>0</v>
      </c>
      <c r="I340" s="7" t="str">
        <f t="shared" si="27"/>
        <v>HF</v>
      </c>
      <c r="J340" s="7" t="str">
        <f t="shared" si="26"/>
        <v>HF</v>
      </c>
      <c r="K340" s="7" t="str">
        <f>D340&amp;"(N1)"</f>
        <v>HF(N1)</v>
      </c>
      <c r="L340" s="163" t="str">
        <f>IFERROR(VLOOKUP(D340,Transco!B:E,4,FALSE),"")</f>
        <v>=INDEX(Liste;$E$2;171)</v>
      </c>
      <c r="M340" s="7" t="str">
        <f>IFERROR(VLOOKUP(J340,Transco!B:E,4,FALSE),"")</f>
        <v>=INDEX(Liste;$E$2;171)</v>
      </c>
      <c r="N340" s="7" t="str">
        <f>IFERROR(VLOOKUP(K340,Transco!B:E,4,FALSE),"")</f>
        <v>=INDEX(Liste;$E$2;172)</v>
      </c>
      <c r="O340" s="85" t="s">
        <v>300</v>
      </c>
      <c r="P340" s="7">
        <f>INDEX(Liste[],$E$2,260)</f>
        <v>-342000</v>
      </c>
    </row>
    <row r="341" spans="2:16" x14ac:dyDescent="0.2">
      <c r="B341" s="39" t="s">
        <v>1772</v>
      </c>
      <c r="C341" s="40"/>
      <c r="D341" s="41" t="s">
        <v>567</v>
      </c>
      <c r="E341" s="40">
        <f>INDEX(Liste[],$E$2,175)</f>
        <v>0</v>
      </c>
      <c r="F341" s="57">
        <f>INDEX(Liste[],$E$2,175)</f>
        <v>0</v>
      </c>
      <c r="G341" s="57">
        <f>INDEX(Liste[],$E$2,176)</f>
        <v>0</v>
      </c>
      <c r="I341" s="7" t="str">
        <f t="shared" si="27"/>
        <v>HG</v>
      </c>
      <c r="J341" s="7" t="str">
        <f t="shared" si="26"/>
        <v>HG</v>
      </c>
      <c r="K341" s="7" t="str">
        <f>D341&amp;"(N1)"</f>
        <v>HG(N1)</v>
      </c>
      <c r="L341" s="163" t="str">
        <f>IFERROR(VLOOKUP(D341,Transco!B:E,4,FALSE),"")</f>
        <v>=INDEX(Liste;$E$2;175)</v>
      </c>
      <c r="M341" s="7" t="str">
        <f>IFERROR(VLOOKUP(J341,Transco!B:E,4,FALSE),"")</f>
        <v>=INDEX(Liste;$E$2;175)</v>
      </c>
      <c r="N341" s="7" t="str">
        <f>IFERROR(VLOOKUP(K341,Transco!B:E,4,FALSE),"")</f>
        <v>=INDEX(Liste;$E$2;176)</v>
      </c>
      <c r="O341" s="85" t="s">
        <v>301</v>
      </c>
      <c r="P341" s="7">
        <f>INDEX(Liste[],$E$2,261)</f>
        <v>0</v>
      </c>
    </row>
    <row r="342" spans="2:16" x14ac:dyDescent="0.2">
      <c r="B342" s="38"/>
      <c r="C342" s="38"/>
      <c r="D342" s="103"/>
      <c r="F342" s="142"/>
      <c r="G342" s="70">
        <f>INDEX(Liste[],$E$2,302)</f>
        <v>0</v>
      </c>
      <c r="I342" s="7">
        <f t="shared" si="27"/>
        <v>0</v>
      </c>
      <c r="J342" s="7">
        <f t="shared" si="26"/>
        <v>0</v>
      </c>
      <c r="L342" s="163" t="str">
        <f>IFERROR(VLOOKUP(D342,Transco!B:E,4,FALSE),"")</f>
        <v/>
      </c>
      <c r="M342" s="7" t="str">
        <f>IFERROR(VLOOKUP(J342,Transco!B:E,4,FALSE),"")</f>
        <v/>
      </c>
      <c r="N342" s="7" t="str">
        <f>IFERROR(VLOOKUP(K342,Transco!B:E,4,FALSE),"")</f>
        <v/>
      </c>
      <c r="O342" s="85" t="s">
        <v>302</v>
      </c>
      <c r="P342" s="7">
        <f>INDEX(Liste[],$E$2,262)</f>
        <v>0</v>
      </c>
    </row>
    <row r="343" spans="2:16" x14ac:dyDescent="0.2">
      <c r="B343" s="111" t="s">
        <v>1773</v>
      </c>
      <c r="C343" s="112"/>
      <c r="D343" s="113" t="s">
        <v>595</v>
      </c>
      <c r="E343" s="112">
        <f>INDEX(Liste[],$E$2,203)</f>
        <v>119000</v>
      </c>
      <c r="F343" s="126">
        <f>INDEX(Liste[],$E$2,203)</f>
        <v>119000</v>
      </c>
      <c r="G343" s="126">
        <f>INDEX(Liste[],$E$2,204)</f>
        <v>74000</v>
      </c>
      <c r="I343" s="7" t="str">
        <f t="shared" si="27"/>
        <v>HH</v>
      </c>
      <c r="J343" s="7" t="str">
        <f t="shared" si="26"/>
        <v>HH</v>
      </c>
      <c r="K343" s="7" t="str">
        <f>D343&amp;"(N1)"</f>
        <v>HH(N1)</v>
      </c>
      <c r="L343" s="163" t="str">
        <f>IFERROR(VLOOKUP(D343,Transco!B:E,4,FALSE),"")</f>
        <v>=INDEX(Liste;$E$2;203)</v>
      </c>
      <c r="M343" s="7" t="str">
        <f>IFERROR(VLOOKUP(J343,Transco!B:E,4,FALSE),"")</f>
        <v>=INDEX(Liste;$E$2;203)</v>
      </c>
      <c r="N343" s="7" t="str">
        <f>IFERROR(VLOOKUP(K343,Transco!B:E,4,FALSE),"")</f>
        <v>=INDEX(Liste;$E$2;204)</v>
      </c>
      <c r="O343" s="85" t="s">
        <v>303</v>
      </c>
      <c r="P343" s="7">
        <f>INDEX(Liste[],$E$2,263)</f>
        <v>0</v>
      </c>
    </row>
    <row r="344" spans="2:16" x14ac:dyDescent="0.2">
      <c r="G344" s="70">
        <f>INDEX(Liste[],$E$2,302)</f>
        <v>0</v>
      </c>
      <c r="I344" s="7">
        <f t="shared" si="27"/>
        <v>0</v>
      </c>
      <c r="J344" s="7">
        <f t="shared" si="26"/>
        <v>0</v>
      </c>
      <c r="L344" s="163" t="str">
        <f>IFERROR(VLOOKUP(D344,Transco!B:E,4,FALSE),"")</f>
        <v/>
      </c>
      <c r="M344" s="7" t="str">
        <f>IFERROR(VLOOKUP(J344,Transco!B:E,4,FALSE),"")</f>
        <v/>
      </c>
      <c r="N344" s="7" t="str">
        <f>IFERROR(VLOOKUP(K344,Transco!B:E,4,FALSE),"")</f>
        <v/>
      </c>
      <c r="O344" s="85" t="s">
        <v>3131</v>
      </c>
      <c r="P344" s="7">
        <f>INDEX(Liste[],$E$2,265)</f>
        <v>0</v>
      </c>
    </row>
    <row r="345" spans="2:16" ht="13.5" thickBot="1" x14ac:dyDescent="0.25">
      <c r="B345" s="111" t="s">
        <v>1774</v>
      </c>
      <c r="C345" s="112"/>
      <c r="D345" s="113" t="s">
        <v>557</v>
      </c>
      <c r="E345" s="112">
        <f>INDEX(Liste[],$E$2,165)</f>
        <v>301000</v>
      </c>
      <c r="F345" s="126">
        <f>INDEX(Liste[],$E$2,165)</f>
        <v>301000</v>
      </c>
      <c r="G345" s="126">
        <f>INDEX(Liste[],$E$2,166)</f>
        <v>253000</v>
      </c>
      <c r="I345" s="7" t="str">
        <f t="shared" si="27"/>
        <v>HI</v>
      </c>
      <c r="J345" s="7" t="str">
        <f t="shared" si="26"/>
        <v>HI</v>
      </c>
      <c r="K345" s="7" t="str">
        <f>D345&amp;"(N1)"</f>
        <v>HI(N1)</v>
      </c>
      <c r="L345" s="163" t="str">
        <f>IFERROR(VLOOKUP(D345,Transco!B:E,4,FALSE),"")</f>
        <v>=INDEX(Liste;$E$2;165)</v>
      </c>
      <c r="M345" s="7" t="str">
        <f>IFERROR(VLOOKUP(J345,Transco!B:E,4,FALSE),"")</f>
        <v>=INDEX(Liste;$E$2;165)</v>
      </c>
      <c r="N345" s="7" t="str">
        <f>IFERROR(VLOOKUP(K345,Transco!B:E,4,FALSE),"")</f>
        <v>=INDEX(Liste;$E$2;166)</v>
      </c>
      <c r="O345" s="85" t="s">
        <v>3132</v>
      </c>
      <c r="P345" s="7">
        <f>INDEX(Liste[],$E$2,266)</f>
        <v>0</v>
      </c>
    </row>
    <row r="346" spans="2:16" x14ac:dyDescent="0.2">
      <c r="B346" s="59"/>
      <c r="C346" s="59"/>
      <c r="D346" s="59"/>
      <c r="E346" s="60"/>
      <c r="F346" s="72"/>
      <c r="G346" s="72">
        <f>INDEX(Liste[],$E$2,302)</f>
        <v>0</v>
      </c>
      <c r="I346" s="7">
        <f t="shared" si="27"/>
        <v>0</v>
      </c>
      <c r="J346" s="7">
        <f t="shared" si="26"/>
        <v>0</v>
      </c>
      <c r="L346" s="163" t="str">
        <f>IFERROR(VLOOKUP(D346,Transco!B:E,4,FALSE),"")</f>
        <v/>
      </c>
      <c r="M346" s="7" t="str">
        <f>IFERROR(VLOOKUP(J346,Transco!B:E,4,FALSE),"")</f>
        <v/>
      </c>
      <c r="N346" s="7" t="str">
        <f>IFERROR(VLOOKUP(K346,Transco!B:E,4,FALSE),"")</f>
        <v/>
      </c>
      <c r="O346" s="85" t="s">
        <v>3133</v>
      </c>
      <c r="P346" s="7">
        <f>INDEX(Liste[],$E$2,267)</f>
        <v>0</v>
      </c>
    </row>
    <row r="347" spans="2:16" x14ac:dyDescent="0.2">
      <c r="G347" s="70">
        <f>INDEX(Liste[],$E$2,302)</f>
        <v>0</v>
      </c>
      <c r="I347" s="7">
        <f t="shared" si="27"/>
        <v>0</v>
      </c>
      <c r="J347" s="7">
        <f t="shared" si="26"/>
        <v>0</v>
      </c>
      <c r="L347" s="163" t="str">
        <f>IFERROR(VLOOKUP(D347,Transco!B:E,4,FALSE),"")</f>
        <v/>
      </c>
      <c r="M347" s="7" t="str">
        <f>IFERROR(VLOOKUP(J347,Transco!B:E,4,FALSE),"")</f>
        <v/>
      </c>
      <c r="N347" s="7" t="str">
        <f>IFERROR(VLOOKUP(K347,Transco!B:E,4,FALSE),"")</f>
        <v/>
      </c>
      <c r="O347" s="85" t="s">
        <v>3134</v>
      </c>
      <c r="P347" s="7">
        <f>INDEX(Liste[],$E$2,268)</f>
        <v>0</v>
      </c>
    </row>
    <row r="348" spans="2:16" x14ac:dyDescent="0.2">
      <c r="B348" s="39" t="s">
        <v>1775</v>
      </c>
      <c r="C348" s="40"/>
      <c r="D348" s="41" t="s">
        <v>575</v>
      </c>
      <c r="E348" s="40">
        <f>INDEX(Liste[],$E$2,183)</f>
        <v>0</v>
      </c>
      <c r="F348" s="57">
        <f>INDEX(Liste[],$E$2,183)</f>
        <v>0</v>
      </c>
      <c r="G348" s="57">
        <f>INDEX(Liste[],$E$2,184)</f>
        <v>0</v>
      </c>
      <c r="I348" s="7" t="str">
        <f t="shared" si="27"/>
        <v>HJ</v>
      </c>
      <c r="J348" s="7" t="str">
        <f t="shared" si="26"/>
        <v>HJ</v>
      </c>
      <c r="K348" s="7" t="str">
        <f>D348&amp;"(N1)"</f>
        <v>HJ(N1)</v>
      </c>
      <c r="L348" s="163" t="str">
        <f>IFERROR(VLOOKUP(D348,Transco!B:E,4,FALSE),"")</f>
        <v>=INDEX(Liste;$E$2;183)</v>
      </c>
      <c r="M348" s="7" t="str">
        <f>IFERROR(VLOOKUP(J348,Transco!B:E,4,FALSE),"")</f>
        <v>=INDEX(Liste;$E$2;183)</v>
      </c>
      <c r="N348" s="7" t="str">
        <f>IFERROR(VLOOKUP(K348,Transco!B:E,4,FALSE),"")</f>
        <v>=INDEX(Liste;$E$2;184)</v>
      </c>
      <c r="O348" s="85" t="s">
        <v>3135</v>
      </c>
      <c r="P348" s="7">
        <f>INDEX(Liste[],$E$2,269)</f>
        <v>35337000</v>
      </c>
    </row>
    <row r="349" spans="2:16" ht="13.5" thickBot="1" x14ac:dyDescent="0.25">
      <c r="B349" s="39" t="s">
        <v>1776</v>
      </c>
      <c r="C349" s="40"/>
      <c r="D349" s="41" t="s">
        <v>571</v>
      </c>
      <c r="E349" s="40">
        <f>INDEX(Liste[],$E$2,179)</f>
        <v>0</v>
      </c>
      <c r="F349" s="57">
        <f>INDEX(Liste[],$E$2,179)</f>
        <v>0</v>
      </c>
      <c r="G349" s="57">
        <f>INDEX(Liste[],$E$2,180)</f>
        <v>0</v>
      </c>
      <c r="I349" s="7" t="str">
        <f t="shared" si="27"/>
        <v>HK</v>
      </c>
      <c r="J349" s="7" t="str">
        <f t="shared" si="26"/>
        <v>HK</v>
      </c>
      <c r="K349" s="7" t="str">
        <f>D349&amp;"(N1)"</f>
        <v>HK(N1)</v>
      </c>
      <c r="L349" s="163" t="str">
        <f>IFERROR(VLOOKUP(D349,Transco!B:E,4,FALSE),"")</f>
        <v>=INDEX(Liste;$E$2;179)</v>
      </c>
      <c r="M349" s="7" t="str">
        <f>IFERROR(VLOOKUP(J349,Transco!B:E,4,FALSE),"")</f>
        <v>=INDEX(Liste;$E$2;179)</v>
      </c>
      <c r="N349" s="7" t="str">
        <f>IFERROR(VLOOKUP(K349,Transco!B:E,4,FALSE),"")</f>
        <v>=INDEX(Liste;$E$2;180)</v>
      </c>
      <c r="O349" s="85" t="s">
        <v>3136</v>
      </c>
      <c r="P349" s="7">
        <f>INDEX(Liste[],$E$2,270)</f>
        <v>31070000</v>
      </c>
    </row>
    <row r="350" spans="2:16" x14ac:dyDescent="0.2">
      <c r="B350" s="59"/>
      <c r="C350" s="59"/>
      <c r="D350" s="59"/>
      <c r="E350" s="60"/>
      <c r="F350" s="72"/>
      <c r="G350" s="72">
        <f>INDEX(Liste[],$E$2,302)</f>
        <v>0</v>
      </c>
      <c r="I350" s="7">
        <f t="shared" si="27"/>
        <v>0</v>
      </c>
      <c r="J350" s="7">
        <f t="shared" si="26"/>
        <v>0</v>
      </c>
      <c r="L350" s="163" t="str">
        <f>IFERROR(VLOOKUP(D350,Transco!B:E,4,FALSE),"")</f>
        <v/>
      </c>
      <c r="M350" s="7" t="str">
        <f>IFERROR(VLOOKUP(J350,Transco!B:E,4,FALSE),"")</f>
        <v/>
      </c>
      <c r="N350" s="7" t="str">
        <f>IFERROR(VLOOKUP(K350,Transco!B:E,4,FALSE),"")</f>
        <v/>
      </c>
      <c r="O350" s="85" t="s">
        <v>3137</v>
      </c>
      <c r="P350" s="7">
        <f>INDEX(Liste[],$E$2,271)</f>
        <v>595000</v>
      </c>
    </row>
    <row r="351" spans="2:16" x14ac:dyDescent="0.2">
      <c r="G351" s="70">
        <f>INDEX(Liste[],$E$2,302)</f>
        <v>0</v>
      </c>
      <c r="I351" s="7">
        <f t="shared" si="27"/>
        <v>0</v>
      </c>
      <c r="J351" s="7">
        <f t="shared" si="26"/>
        <v>0</v>
      </c>
      <c r="L351" s="163" t="str">
        <f>IFERROR(VLOOKUP(D351,Transco!B:E,4,FALSE),"")</f>
        <v/>
      </c>
      <c r="M351" s="7" t="str">
        <f>IFERROR(VLOOKUP(J351,Transco!B:E,4,FALSE),"")</f>
        <v/>
      </c>
      <c r="N351" s="7" t="str">
        <f>IFERROR(VLOOKUP(K351,Transco!B:E,4,FALSE),"")</f>
        <v/>
      </c>
      <c r="O351" s="85" t="s">
        <v>309</v>
      </c>
      <c r="P351" s="7">
        <f>INDEX(Liste[],$E$2,272)</f>
        <v>355000</v>
      </c>
    </row>
    <row r="352" spans="2:16" x14ac:dyDescent="0.2">
      <c r="B352" s="143" t="s">
        <v>1777</v>
      </c>
      <c r="C352" s="43"/>
      <c r="D352" s="44"/>
      <c r="F352" s="74"/>
      <c r="G352" s="70">
        <f>INDEX(Liste[],$E$2,302)</f>
        <v>0</v>
      </c>
      <c r="I352" s="7">
        <f t="shared" si="27"/>
        <v>0</v>
      </c>
      <c r="J352" s="7">
        <f t="shared" si="26"/>
        <v>0</v>
      </c>
      <c r="L352" s="163" t="str">
        <f>IFERROR(VLOOKUP(D352,Transco!B:E,4,FALSE),"")</f>
        <v/>
      </c>
      <c r="M352" s="7" t="str">
        <f>IFERROR(VLOOKUP(J352,Transco!B:E,4,FALSE),"")</f>
        <v/>
      </c>
      <c r="N352" s="7" t="str">
        <f>IFERROR(VLOOKUP(K352,Transco!B:E,4,FALSE),"")</f>
        <v/>
      </c>
      <c r="O352" s="85" t="s">
        <v>3138</v>
      </c>
      <c r="P352" s="7">
        <f>INDEX(Liste[],$E$2,273)</f>
        <v>44480000</v>
      </c>
    </row>
    <row r="353" spans="2:16" x14ac:dyDescent="0.2">
      <c r="B353" s="46" t="s">
        <v>1778</v>
      </c>
      <c r="C353" s="40"/>
      <c r="D353" s="47" t="s">
        <v>569</v>
      </c>
      <c r="E353" s="40">
        <f>INDEX(Liste[],$E$2,177)</f>
        <v>0</v>
      </c>
      <c r="F353" s="57">
        <f>INDEX(Liste[],$E$2,177)</f>
        <v>0</v>
      </c>
      <c r="G353" s="57">
        <f>INDEX(Liste[],$E$2,178)</f>
        <v>0</v>
      </c>
      <c r="I353" s="7" t="str">
        <f t="shared" si="27"/>
        <v>CO1R</v>
      </c>
      <c r="J353" s="7" t="str">
        <f t="shared" si="26"/>
        <v>CO1R</v>
      </c>
      <c r="K353" s="7" t="str">
        <f t="shared" ref="K353:K360" si="28">D353&amp;"(N1)"</f>
        <v>CO1R(N1)</v>
      </c>
      <c r="L353" s="163" t="str">
        <f>IFERROR(VLOOKUP(D353,Transco!B:E,4,FALSE),"")</f>
        <v>=INDEX(Liste;$E$2;177)</v>
      </c>
      <c r="M353" s="7" t="str">
        <f>IFERROR(VLOOKUP(J353,Transco!B:E,4,FALSE),"")</f>
        <v>=INDEX(Liste;$E$2;177)</v>
      </c>
      <c r="N353" s="7" t="str">
        <f>IFERROR(VLOOKUP(K353,Transco!B:E,4,FALSE),"")</f>
        <v>=INDEX(Liste;$E$2;178)</v>
      </c>
      <c r="O353" s="85" t="s">
        <v>3139</v>
      </c>
      <c r="P353" s="7">
        <f>INDEX(Liste[],$E$2,274)</f>
        <v>38408000</v>
      </c>
    </row>
    <row r="354" spans="2:16" x14ac:dyDescent="0.2">
      <c r="B354" s="46" t="s">
        <v>1779</v>
      </c>
      <c r="C354" s="40"/>
      <c r="D354" s="47" t="s">
        <v>559</v>
      </c>
      <c r="E354" s="40">
        <f>INDEX(Liste[],$E$2,167)</f>
        <v>0</v>
      </c>
      <c r="F354" s="57">
        <f>INDEX(Liste[],$E$2,167)</f>
        <v>0</v>
      </c>
      <c r="G354" s="57">
        <f>INDEX(Liste[],$E$2,168)</f>
        <v>0</v>
      </c>
      <c r="I354" s="7" t="str">
        <f t="shared" si="27"/>
        <v>CO2R</v>
      </c>
      <c r="J354" s="7" t="str">
        <f t="shared" si="26"/>
        <v>CO2R</v>
      </c>
      <c r="K354" s="7" t="str">
        <f t="shared" si="28"/>
        <v>CO2R(N1)</v>
      </c>
      <c r="L354" s="163" t="str">
        <f>IFERROR(VLOOKUP(D354,Transco!B:E,4,FALSE),"")</f>
        <v>=INDEX(Liste;$E$2;167)</v>
      </c>
      <c r="M354" s="7" t="str">
        <f>IFERROR(VLOOKUP(J354,Transco!B:E,4,FALSE),"")</f>
        <v>=INDEX(Liste;$E$2;167)</v>
      </c>
      <c r="N354" s="7" t="str">
        <f>IFERROR(VLOOKUP(K354,Transco!B:E,4,FALSE),"")</f>
        <v>=INDEX(Liste;$E$2;168)</v>
      </c>
      <c r="O354" s="85" t="s">
        <v>3140</v>
      </c>
      <c r="P354" s="7">
        <f>INDEX(Liste[],$E$2,275)</f>
        <v>4000</v>
      </c>
    </row>
    <row r="355" spans="2:16" x14ac:dyDescent="0.2">
      <c r="B355" s="46" t="s">
        <v>1780</v>
      </c>
      <c r="C355" s="40"/>
      <c r="D355" s="47" t="s">
        <v>565</v>
      </c>
      <c r="E355" s="40">
        <f>INDEX(Liste[],$E$2,173)</f>
        <v>-1155000</v>
      </c>
      <c r="F355" s="57">
        <f>INDEX(Liste[],$E$2,173)</f>
        <v>-1155000</v>
      </c>
      <c r="G355" s="57">
        <f>INDEX(Liste[],$E$2,174)</f>
        <v>-1140000</v>
      </c>
      <c r="I355" s="7" t="str">
        <f t="shared" si="27"/>
        <v>CO3R</v>
      </c>
      <c r="J355" s="7" t="str">
        <f t="shared" si="26"/>
        <v>CO3R</v>
      </c>
      <c r="K355" s="7" t="str">
        <f t="shared" si="28"/>
        <v>CO3R(N1)</v>
      </c>
      <c r="L355" s="163" t="str">
        <f>IFERROR(VLOOKUP(D355,Transco!B:E,4,FALSE),"")</f>
        <v>=INDEX(Liste;$E$2;173)</v>
      </c>
      <c r="M355" s="7" t="str">
        <f>IFERROR(VLOOKUP(J355,Transco!B:E,4,FALSE),"")</f>
        <v>=INDEX(Liste;$E$2;173)</v>
      </c>
      <c r="N355" s="7" t="str">
        <f>IFERROR(VLOOKUP(K355,Transco!B:E,4,FALSE),"")</f>
        <v>=INDEX(Liste;$E$2;174)</v>
      </c>
      <c r="O355" s="85" t="s">
        <v>313</v>
      </c>
      <c r="P355" s="7">
        <f>INDEX(Liste[],$E$2,276)</f>
        <v>13000</v>
      </c>
    </row>
    <row r="356" spans="2:16" x14ac:dyDescent="0.2">
      <c r="B356" s="46" t="s">
        <v>1781</v>
      </c>
      <c r="C356" s="40"/>
      <c r="D356" s="47" t="s">
        <v>591</v>
      </c>
      <c r="E356" s="40">
        <f>INDEX(Liste[],$E$2,199)</f>
        <v>0</v>
      </c>
      <c r="F356" s="57">
        <f>INDEX(Liste[],$E$2,199)</f>
        <v>0</v>
      </c>
      <c r="G356" s="57">
        <f>INDEX(Liste[],$E$2,200)</f>
        <v>0</v>
      </c>
      <c r="I356" s="7" t="str">
        <f t="shared" si="27"/>
        <v>CO4R</v>
      </c>
      <c r="J356" s="7" t="str">
        <f t="shared" si="26"/>
        <v>CO4R</v>
      </c>
      <c r="K356" s="7" t="str">
        <f t="shared" si="28"/>
        <v>CO4R(N1)</v>
      </c>
      <c r="L356" s="163" t="str">
        <f>IFERROR(VLOOKUP(D356,Transco!B:E,4,FALSE),"")</f>
        <v>=INDEX(Liste;$E$2;199)</v>
      </c>
      <c r="M356" s="7" t="str">
        <f>IFERROR(VLOOKUP(J356,Transco!B:E,4,FALSE),"")</f>
        <v>=INDEX(Liste;$E$2;199)</v>
      </c>
      <c r="N356" s="7" t="str">
        <f>IFERROR(VLOOKUP(K356,Transco!B:E,4,FALSE),"")</f>
        <v>=INDEX(Liste;$E$2;200)</v>
      </c>
      <c r="O356" s="85" t="s">
        <v>3141</v>
      </c>
      <c r="P356" s="7">
        <f>INDEX(Liste[],$E$2,277)</f>
        <v>0</v>
      </c>
    </row>
    <row r="357" spans="2:16" x14ac:dyDescent="0.2">
      <c r="B357" s="46" t="s">
        <v>1782</v>
      </c>
      <c r="C357" s="40"/>
      <c r="D357" s="47" t="s">
        <v>589</v>
      </c>
      <c r="E357" s="40">
        <f>INDEX(Liste[],$E$2,197)</f>
        <v>5933000</v>
      </c>
      <c r="F357" s="57">
        <f>INDEX(Liste[],$E$2,197)</f>
        <v>5933000</v>
      </c>
      <c r="G357" s="57">
        <f>INDEX(Liste[],$E$2,198)</f>
        <v>4810000</v>
      </c>
      <c r="I357" s="7" t="str">
        <f t="shared" si="27"/>
        <v>CO5R</v>
      </c>
      <c r="J357" s="7" t="str">
        <f t="shared" si="26"/>
        <v>CO5R</v>
      </c>
      <c r="K357" s="7" t="str">
        <f t="shared" si="28"/>
        <v>CO5R(N1)</v>
      </c>
      <c r="L357" s="163" t="str">
        <f>IFERROR(VLOOKUP(D357,Transco!B:E,4,FALSE),"")</f>
        <v>=INDEX(Liste;$E$2;197)</v>
      </c>
      <c r="M357" s="7" t="str">
        <f>IFERROR(VLOOKUP(J357,Transco!B:E,4,FALSE),"")</f>
        <v>=INDEX(Liste;$E$2;197)</v>
      </c>
      <c r="N357" s="7" t="str">
        <f>IFERROR(VLOOKUP(K357,Transco!B:E,4,FALSE),"")</f>
        <v>=INDEX(Liste;$E$2;198)</v>
      </c>
      <c r="O357" s="85" t="s">
        <v>3142</v>
      </c>
      <c r="P357" s="7">
        <f>INDEX(Liste[],$E$2,278)</f>
        <v>0</v>
      </c>
    </row>
    <row r="358" spans="2:16" x14ac:dyDescent="0.2">
      <c r="B358" s="111" t="s">
        <v>1783</v>
      </c>
      <c r="C358" s="112"/>
      <c r="D358" s="113" t="s">
        <v>587</v>
      </c>
      <c r="E358" s="112">
        <f>INDEX(Liste[],$E$2,195)</f>
        <v>4778000</v>
      </c>
      <c r="F358" s="126">
        <f>INDEX(Liste[],$E$2,195)</f>
        <v>4778000</v>
      </c>
      <c r="G358" s="126">
        <f>INDEX(Liste[],$E$2,196)</f>
        <v>3671000</v>
      </c>
      <c r="I358" s="7" t="str">
        <f t="shared" si="27"/>
        <v>CO6R</v>
      </c>
      <c r="J358" s="7" t="str">
        <f t="shared" si="26"/>
        <v>CO6R</v>
      </c>
      <c r="K358" s="7" t="str">
        <f t="shared" si="28"/>
        <v>CO6R(N1)</v>
      </c>
      <c r="L358" s="163" t="str">
        <f>IFERROR(VLOOKUP(D358,Transco!B:E,4,FALSE),"")</f>
        <v>=INDEX(Liste;$E$2;195)</v>
      </c>
      <c r="M358" s="7" t="str">
        <f>IFERROR(VLOOKUP(J358,Transco!B:E,4,FALSE),"")</f>
        <v>=INDEX(Liste;$E$2;195)</v>
      </c>
      <c r="N358" s="7" t="str">
        <f>IFERROR(VLOOKUP(K358,Transco!B:E,4,FALSE),"")</f>
        <v>=INDEX(Liste;$E$2;196)</v>
      </c>
      <c r="O358" s="85" t="s">
        <v>3143</v>
      </c>
      <c r="P358" s="7">
        <f>INDEX(Liste[],$E$2,279)</f>
        <v>0</v>
      </c>
    </row>
    <row r="359" spans="2:16" x14ac:dyDescent="0.2">
      <c r="B359" s="46" t="s">
        <v>1784</v>
      </c>
      <c r="C359" s="40"/>
      <c r="D359" s="47" t="s">
        <v>573</v>
      </c>
      <c r="E359" s="40">
        <f>INDEX(Liste[],$E$2,181)</f>
        <v>0</v>
      </c>
      <c r="F359" s="57">
        <f>INDEX(Liste[],$E$2,181)</f>
        <v>0</v>
      </c>
      <c r="G359" s="57">
        <f>INDEX(Liste[],$E$2,182)</f>
        <v>0</v>
      </c>
      <c r="I359" s="7" t="str">
        <f t="shared" si="27"/>
        <v>CO7R</v>
      </c>
      <c r="J359" s="7" t="str">
        <f t="shared" si="26"/>
        <v>CO7R</v>
      </c>
      <c r="K359" s="7" t="str">
        <f t="shared" si="28"/>
        <v>CO7R(N1)</v>
      </c>
      <c r="L359" s="163" t="str">
        <f>IFERROR(VLOOKUP(D359,Transco!B:E,4,FALSE),"")</f>
        <v>=INDEX(Liste;$E$2;181)</v>
      </c>
      <c r="M359" s="7" t="str">
        <f>IFERROR(VLOOKUP(J359,Transco!B:E,4,FALSE),"")</f>
        <v>=INDEX(Liste;$E$2;181)</v>
      </c>
      <c r="N359" s="7" t="str">
        <f>IFERROR(VLOOKUP(K359,Transco!B:E,4,FALSE),"")</f>
        <v>=INDEX(Liste;$E$2;182)</v>
      </c>
      <c r="O359" s="85" t="s">
        <v>317</v>
      </c>
      <c r="P359" s="7">
        <f>INDEX(Liste[],$E$2,280)</f>
        <v>0</v>
      </c>
    </row>
    <row r="360" spans="2:16" x14ac:dyDescent="0.2">
      <c r="B360" s="46" t="s">
        <v>1785</v>
      </c>
      <c r="C360" s="40"/>
      <c r="D360" s="47" t="s">
        <v>593</v>
      </c>
      <c r="E360" s="40">
        <f>INDEX(Liste[],$E$2,201)</f>
        <v>4778000</v>
      </c>
      <c r="F360" s="57">
        <f>INDEX(Liste[],$E$2,201)</f>
        <v>4778000</v>
      </c>
      <c r="G360" s="57">
        <f>INDEX(Liste[],$E$2,202)</f>
        <v>3671000</v>
      </c>
      <c r="I360" s="7" t="str">
        <f t="shared" si="27"/>
        <v>CO8R</v>
      </c>
      <c r="J360" s="7" t="str">
        <f t="shared" si="26"/>
        <v>CO8R</v>
      </c>
      <c r="K360" s="7" t="str">
        <f t="shared" si="28"/>
        <v>CO8R(N1)</v>
      </c>
      <c r="L360" s="163" t="str">
        <f>IFERROR(VLOOKUP(D360,Transco!B:E,4,FALSE),"")</f>
        <v>=INDEX(Liste;$E$2;201)</v>
      </c>
      <c r="M360" s="7" t="str">
        <f>IFERROR(VLOOKUP(J360,Transco!B:E,4,FALSE),"")</f>
        <v>=INDEX(Liste;$E$2;201)</v>
      </c>
      <c r="N360" s="7" t="str">
        <f>IFERROR(VLOOKUP(K360,Transco!B:E,4,FALSE),"")</f>
        <v>=INDEX(Liste;$E$2;202)</v>
      </c>
      <c r="O360" s="85" t="s">
        <v>3144</v>
      </c>
      <c r="P360" s="7">
        <f>INDEX(Liste[],$E$2,281)</f>
        <v>0</v>
      </c>
    </row>
    <row r="361" spans="2:16" x14ac:dyDescent="0.2">
      <c r="B361" s="42"/>
      <c r="C361" s="43"/>
      <c r="D361" s="44"/>
      <c r="F361" s="74"/>
      <c r="G361" s="70">
        <f>INDEX(Liste[],$E$2,302)</f>
        <v>0</v>
      </c>
      <c r="I361" s="7">
        <f t="shared" si="27"/>
        <v>0</v>
      </c>
      <c r="J361" s="7">
        <f t="shared" si="26"/>
        <v>0</v>
      </c>
      <c r="L361" s="163" t="str">
        <f>IFERROR(VLOOKUP(D361,Transco!B:E,4,FALSE),"")</f>
        <v/>
      </c>
      <c r="M361" s="7" t="str">
        <f>IFERROR(VLOOKUP(J361,Transco!B:E,4,FALSE),"")</f>
        <v/>
      </c>
      <c r="N361" s="7" t="str">
        <f>IFERROR(VLOOKUP(K361,Transco!B:E,4,FALSE),"")</f>
        <v/>
      </c>
      <c r="O361" s="85" t="s">
        <v>3145</v>
      </c>
      <c r="P361" s="7">
        <f>INDEX(Liste[],$E$2,282)</f>
        <v>0</v>
      </c>
    </row>
    <row r="362" spans="2:16" x14ac:dyDescent="0.2">
      <c r="B362" s="144" t="s">
        <v>1786</v>
      </c>
      <c r="C362" s="144"/>
      <c r="D362" s="145"/>
      <c r="F362" s="141"/>
      <c r="G362" s="70">
        <f>INDEX(Liste[],$E$2,302)</f>
        <v>0</v>
      </c>
      <c r="I362" s="7">
        <f t="shared" si="27"/>
        <v>0</v>
      </c>
      <c r="J362" s="7">
        <f t="shared" si="26"/>
        <v>0</v>
      </c>
      <c r="L362" s="163" t="str">
        <f>IFERROR(VLOOKUP(D362,Transco!B:E,4,FALSE),"")</f>
        <v/>
      </c>
      <c r="M362" s="7" t="str">
        <f>IFERROR(VLOOKUP(J362,Transco!B:E,4,FALSE),"")</f>
        <v/>
      </c>
      <c r="N362" s="7" t="str">
        <f>IFERROR(VLOOKUP(K362,Transco!B:E,4,FALSE),"")</f>
        <v/>
      </c>
      <c r="O362" s="85" t="s">
        <v>3146</v>
      </c>
      <c r="P362" s="7">
        <f>INDEX(Liste[],$E$2,283)</f>
        <v>44307000</v>
      </c>
    </row>
    <row r="363" spans="2:16" x14ac:dyDescent="0.2">
      <c r="B363" s="39" t="s">
        <v>1787</v>
      </c>
      <c r="C363" s="40"/>
      <c r="D363" s="41" t="s">
        <v>583</v>
      </c>
      <c r="E363" s="40">
        <f>INDEX(Liste[],$E$2,191)</f>
        <v>0</v>
      </c>
      <c r="F363" s="57">
        <f>INDEX(Liste[],$E$2,191)</f>
        <v>0</v>
      </c>
      <c r="G363" s="57">
        <f>INDEX(Liste[],$E$2,192)</f>
        <v>0</v>
      </c>
      <c r="I363" s="7" t="str">
        <f t="shared" si="27"/>
        <v>HP</v>
      </c>
      <c r="J363" s="7" t="str">
        <f t="shared" si="26"/>
        <v>HP</v>
      </c>
      <c r="K363" s="7" t="str">
        <f>D363&amp;"(N1)"</f>
        <v>HP(N1)</v>
      </c>
      <c r="L363" s="163" t="str">
        <f>IFERROR(VLOOKUP(D363,Transco!B:E,4,FALSE),"")</f>
        <v>=INDEX(Liste;$E$2;191)</v>
      </c>
      <c r="M363" s="7" t="str">
        <f>IFERROR(VLOOKUP(J363,Transco!B:E,4,FALSE),"")</f>
        <v>=INDEX(Liste;$E$2;191)</v>
      </c>
      <c r="N363" s="7" t="str">
        <f>IFERROR(VLOOKUP(K363,Transco!B:E,4,FALSE),"")</f>
        <v>=INDEX(Liste;$E$2;192)</v>
      </c>
      <c r="O363" s="85" t="s">
        <v>3147</v>
      </c>
      <c r="P363" s="7">
        <f>INDEX(Liste[],$E$2,284)</f>
        <v>38189000</v>
      </c>
    </row>
    <row r="364" spans="2:16" ht="13.5" thickBot="1" x14ac:dyDescent="0.25">
      <c r="B364" s="39" t="s">
        <v>1788</v>
      </c>
      <c r="C364" s="40"/>
      <c r="D364" s="41" t="s">
        <v>581</v>
      </c>
      <c r="E364" s="40">
        <f>INDEX(Liste[],$E$2,189)</f>
        <v>0</v>
      </c>
      <c r="F364" s="57">
        <f>INDEX(Liste[],$E$2,189)</f>
        <v>0</v>
      </c>
      <c r="G364" s="57">
        <f>INDEX(Liste[],$E$2,190)</f>
        <v>0</v>
      </c>
      <c r="I364" s="7" t="str">
        <f t="shared" si="27"/>
        <v>HQ</v>
      </c>
      <c r="J364" s="7" t="str">
        <f t="shared" si="26"/>
        <v>HQ</v>
      </c>
      <c r="K364" s="7" t="str">
        <f>D364&amp;"(N1)"</f>
        <v>HQ(N1)</v>
      </c>
      <c r="L364" s="163" t="str">
        <f>IFERROR(VLOOKUP(D364,Transco!B:E,4,FALSE),"")</f>
        <v>=INDEX(Liste;$E$2;189)</v>
      </c>
      <c r="M364" s="7" t="str">
        <f>IFERROR(VLOOKUP(J364,Transco!B:E,4,FALSE),"")</f>
        <v>=INDEX(Liste;$E$2;189)</v>
      </c>
      <c r="N364" s="7" t="str">
        <f>IFERROR(VLOOKUP(K364,Transco!B:E,4,FALSE),"")</f>
        <v>=INDEX(Liste;$E$2;190)</v>
      </c>
      <c r="O364" s="85" t="s">
        <v>3148</v>
      </c>
      <c r="P364" s="7">
        <f>INDEX(Liste[],$E$2,285)</f>
        <v>0</v>
      </c>
    </row>
    <row r="365" spans="2:16" x14ac:dyDescent="0.2">
      <c r="B365" s="59"/>
      <c r="C365" s="59"/>
      <c r="D365" s="59"/>
      <c r="E365" s="60"/>
      <c r="F365" s="72"/>
      <c r="G365" s="72"/>
      <c r="I365" s="7">
        <f t="shared" si="27"/>
        <v>0</v>
      </c>
      <c r="J365" s="7">
        <f t="shared" si="26"/>
        <v>0</v>
      </c>
      <c r="M365" s="7"/>
      <c r="O365" s="85" t="s">
        <v>3149</v>
      </c>
      <c r="P365" s="7">
        <f>INDEX(Liste[],$E$2,286)</f>
        <v>0</v>
      </c>
    </row>
    <row r="366" spans="2:16" x14ac:dyDescent="0.2">
      <c r="M366" s="7"/>
      <c r="O366" s="85" t="s">
        <v>3150</v>
      </c>
      <c r="P366" s="7">
        <f>INDEX(Liste[],$E$2,287)</f>
        <v>0</v>
      </c>
    </row>
    <row r="367" spans="2:16" x14ac:dyDescent="0.2">
      <c r="M367" s="7"/>
      <c r="O367" s="85" t="s">
        <v>3151</v>
      </c>
      <c r="P367" s="7">
        <f>INDEX(Liste[],$E$2,288)</f>
        <v>0</v>
      </c>
    </row>
    <row r="368" spans="2:16" x14ac:dyDescent="0.2">
      <c r="M368" s="7"/>
      <c r="O368" s="85" t="s">
        <v>3152</v>
      </c>
      <c r="P368" s="7">
        <f>INDEX(Liste[],$E$2,289)</f>
        <v>0</v>
      </c>
    </row>
    <row r="369" spans="2:16" x14ac:dyDescent="0.2">
      <c r="M369" s="7"/>
      <c r="O369" s="85" t="s">
        <v>3153</v>
      </c>
      <c r="P369" s="7">
        <f>INDEX(Liste[],$E$2,290)</f>
        <v>0</v>
      </c>
    </row>
    <row r="370" spans="2:16" x14ac:dyDescent="0.2">
      <c r="M370" s="7"/>
      <c r="O370" s="85" t="s">
        <v>3154</v>
      </c>
      <c r="P370" s="7">
        <f>INDEX(Liste[],$E$2,291)</f>
        <v>0</v>
      </c>
    </row>
    <row r="371" spans="2:16" x14ac:dyDescent="0.2">
      <c r="M371" s="7"/>
      <c r="O371" s="85" t="s">
        <v>3155</v>
      </c>
      <c r="P371" s="7">
        <f>INDEX(Liste[],$E$2,292)</f>
        <v>0</v>
      </c>
    </row>
    <row r="372" spans="2:16" x14ac:dyDescent="0.2">
      <c r="M372" s="7"/>
      <c r="O372" s="85" t="s">
        <v>3156</v>
      </c>
      <c r="P372" s="7">
        <f>INDEX(Liste[],$E$2,293)</f>
        <v>0</v>
      </c>
    </row>
    <row r="373" spans="2:16" x14ac:dyDescent="0.2">
      <c r="M373" s="7"/>
      <c r="O373" s="85" t="s">
        <v>3157</v>
      </c>
      <c r="P373" s="7">
        <f>INDEX(Liste[],$E$2,294)</f>
        <v>0</v>
      </c>
    </row>
    <row r="374" spans="2:16" x14ac:dyDescent="0.2">
      <c r="B374" s="38"/>
      <c r="C374" s="38"/>
      <c r="D374" s="103"/>
      <c r="F374" s="142"/>
      <c r="M374" s="7"/>
      <c r="O374" s="85" t="s">
        <v>3158</v>
      </c>
      <c r="P374" s="7">
        <f>INDEX(Liste[],$E$2,295)</f>
        <v>0</v>
      </c>
    </row>
    <row r="375" spans="2:16" x14ac:dyDescent="0.2">
      <c r="M375" s="7"/>
      <c r="O375" s="85" t="s">
        <v>3159</v>
      </c>
      <c r="P375" s="7">
        <f>INDEX(Liste[],$E$2,296)</f>
        <v>0</v>
      </c>
    </row>
    <row r="376" spans="2:16" x14ac:dyDescent="0.2">
      <c r="M376" s="7"/>
      <c r="O376" s="85" t="s">
        <v>3160</v>
      </c>
      <c r="P376" s="7">
        <f>INDEX(Liste[],$E$2,297)</f>
        <v>0</v>
      </c>
    </row>
    <row r="377" spans="2:16" x14ac:dyDescent="0.2">
      <c r="M377" s="7"/>
      <c r="O377" s="85" t="s">
        <v>3161</v>
      </c>
      <c r="P377" s="7">
        <f>INDEX(Liste[],$E$2,298)</f>
        <v>0</v>
      </c>
    </row>
    <row r="378" spans="2:16" x14ac:dyDescent="0.2">
      <c r="M378" s="7"/>
      <c r="O378" s="85" t="s">
        <v>3162</v>
      </c>
      <c r="P378" s="7">
        <f>INDEX(Liste[],$E$2,299)</f>
        <v>0</v>
      </c>
    </row>
    <row r="379" spans="2:16" x14ac:dyDescent="0.2">
      <c r="M379" s="7"/>
      <c r="O379" s="85" t="s">
        <v>3163</v>
      </c>
      <c r="P379" s="7">
        <f>INDEX(Liste[],$E$2,300)</f>
        <v>0</v>
      </c>
    </row>
    <row r="380" spans="2:16" x14ac:dyDescent="0.2">
      <c r="M380" s="7"/>
      <c r="O380" s="85" t="s">
        <v>3164</v>
      </c>
      <c r="P380" s="7">
        <f>INDEX(Liste[],$E$2,301)</f>
        <v>0</v>
      </c>
    </row>
    <row r="381" spans="2:16" x14ac:dyDescent="0.2">
      <c r="M381" s="7"/>
      <c r="O381" s="85" t="s">
        <v>3165</v>
      </c>
      <c r="P381" s="7">
        <f>INDEX(Liste[],$E$2,302)</f>
        <v>0</v>
      </c>
    </row>
    <row r="382" spans="2:16" x14ac:dyDescent="0.2">
      <c r="M382" s="7"/>
      <c r="O382" s="85" t="s">
        <v>3166</v>
      </c>
      <c r="P382" s="7">
        <f>INDEX(Liste[],$E$2,303)</f>
        <v>0</v>
      </c>
    </row>
    <row r="383" spans="2:16" x14ac:dyDescent="0.2">
      <c r="M383" s="7"/>
      <c r="O383" s="85" t="s">
        <v>3167</v>
      </c>
      <c r="P383" s="7">
        <f>INDEX(Liste[],$E$2,304)</f>
        <v>0</v>
      </c>
    </row>
    <row r="384" spans="2:16" x14ac:dyDescent="0.2">
      <c r="M384" s="7"/>
      <c r="O384" s="85" t="s">
        <v>3168</v>
      </c>
      <c r="P384" s="7">
        <f>INDEX(Liste[],$E$2,305)</f>
        <v>0</v>
      </c>
    </row>
    <row r="385" spans="13:16" x14ac:dyDescent="0.2">
      <c r="M385" s="7"/>
      <c r="O385" s="85" t="s">
        <v>3169</v>
      </c>
      <c r="P385" s="7">
        <f>INDEX(Liste[],$E$2,306)</f>
        <v>0</v>
      </c>
    </row>
    <row r="386" spans="13:16" x14ac:dyDescent="0.2">
      <c r="M386" s="7"/>
      <c r="O386" s="85" t="s">
        <v>3170</v>
      </c>
      <c r="P386" s="7">
        <f>INDEX(Liste[],$E$2,307)</f>
        <v>0</v>
      </c>
    </row>
    <row r="387" spans="13:16" x14ac:dyDescent="0.2">
      <c r="M387" s="7"/>
      <c r="O387" s="85" t="s">
        <v>3171</v>
      </c>
      <c r="P387" s="7">
        <f>INDEX(Liste[],$E$2,308)</f>
        <v>0</v>
      </c>
    </row>
    <row r="388" spans="13:16" x14ac:dyDescent="0.2">
      <c r="M388" s="7"/>
      <c r="O388" s="85" t="s">
        <v>3172</v>
      </c>
      <c r="P388" s="7">
        <f>INDEX(Liste[],$E$2,309)</f>
        <v>0</v>
      </c>
    </row>
    <row r="389" spans="13:16" x14ac:dyDescent="0.2">
      <c r="M389" s="7"/>
      <c r="O389" s="85" t="s">
        <v>3173</v>
      </c>
      <c r="P389" s="7">
        <f>INDEX(Liste[],$E$2,310)</f>
        <v>0</v>
      </c>
    </row>
    <row r="390" spans="13:16" x14ac:dyDescent="0.2">
      <c r="M390" s="7"/>
      <c r="O390" s="85" t="s">
        <v>3174</v>
      </c>
      <c r="P390" s="7">
        <f>INDEX(Liste[],$E$2,311)</f>
        <v>0</v>
      </c>
    </row>
    <row r="391" spans="13:16" x14ac:dyDescent="0.2">
      <c r="M391" s="7"/>
      <c r="O391" s="85" t="s">
        <v>3175</v>
      </c>
      <c r="P391" s="7">
        <f>INDEX(Liste[],$E$2,312)</f>
        <v>0</v>
      </c>
    </row>
    <row r="392" spans="13:16" x14ac:dyDescent="0.2">
      <c r="M392" s="7"/>
      <c r="O392" s="85" t="s">
        <v>3176</v>
      </c>
      <c r="P392" s="7">
        <f>INDEX(Liste[],$E$2,313)</f>
        <v>25299000</v>
      </c>
    </row>
    <row r="393" spans="13:16" x14ac:dyDescent="0.2">
      <c r="M393" s="7"/>
      <c r="O393" s="85" t="s">
        <v>3177</v>
      </c>
      <c r="P393" s="7">
        <f>INDEX(Liste[],$E$2,314)</f>
        <v>24907000</v>
      </c>
    </row>
    <row r="394" spans="13:16" x14ac:dyDescent="0.2">
      <c r="M394" s="7"/>
      <c r="O394" s="85" t="s">
        <v>3178</v>
      </c>
      <c r="P394" s="7">
        <f>INDEX(Liste[],$E$2,315)</f>
        <v>0</v>
      </c>
    </row>
    <row r="395" spans="13:16" x14ac:dyDescent="0.2">
      <c r="M395" s="7"/>
      <c r="O395" s="85" t="s">
        <v>3179</v>
      </c>
      <c r="P395" s="7">
        <f>INDEX(Liste[],$E$2,316)</f>
        <v>0</v>
      </c>
    </row>
    <row r="396" spans="13:16" x14ac:dyDescent="0.2">
      <c r="M396" s="7"/>
      <c r="O396" s="85" t="s">
        <v>3180</v>
      </c>
      <c r="P396" s="7">
        <f>INDEX(Liste[],$E$2,317)</f>
        <v>0</v>
      </c>
    </row>
    <row r="397" spans="13:16" x14ac:dyDescent="0.2">
      <c r="M397" s="7"/>
      <c r="O397" s="85" t="s">
        <v>3181</v>
      </c>
      <c r="P397" s="7">
        <f>INDEX(Liste[],$E$2,318)</f>
        <v>0</v>
      </c>
    </row>
    <row r="398" spans="13:16" x14ac:dyDescent="0.2">
      <c r="M398" s="7"/>
      <c r="O398" s="85" t="s">
        <v>3182</v>
      </c>
      <c r="P398" s="7">
        <f>INDEX(Liste[],$E$2,319)</f>
        <v>0</v>
      </c>
    </row>
    <row r="399" spans="13:16" x14ac:dyDescent="0.2">
      <c r="M399" s="7"/>
      <c r="O399" s="85" t="s">
        <v>3183</v>
      </c>
      <c r="P399" s="7">
        <f>INDEX(Liste[],$E$2,320)</f>
        <v>0</v>
      </c>
    </row>
    <row r="400" spans="13:16" x14ac:dyDescent="0.2">
      <c r="M400" s="7"/>
      <c r="O400" s="85" t="s">
        <v>3184</v>
      </c>
      <c r="P400" s="7">
        <f>INDEX(Liste[],$E$2,321)</f>
        <v>0</v>
      </c>
    </row>
    <row r="401" spans="13:16" x14ac:dyDescent="0.2">
      <c r="M401" s="7"/>
      <c r="O401" s="85" t="s">
        <v>3185</v>
      </c>
      <c r="P401" s="7">
        <f>INDEX(Liste[],$E$2,322)</f>
        <v>0</v>
      </c>
    </row>
    <row r="402" spans="13:16" x14ac:dyDescent="0.2">
      <c r="M402" s="7"/>
      <c r="O402" s="85" t="s">
        <v>3186</v>
      </c>
      <c r="P402" s="7">
        <f>INDEX(Liste[],$E$2,323)</f>
        <v>3899000</v>
      </c>
    </row>
    <row r="403" spans="13:16" x14ac:dyDescent="0.2">
      <c r="M403" s="7"/>
      <c r="O403" s="85" t="s">
        <v>3187</v>
      </c>
      <c r="P403" s="7">
        <f>INDEX(Liste[],$E$2,324)</f>
        <v>5291000</v>
      </c>
    </row>
    <row r="404" spans="13:16" x14ac:dyDescent="0.2">
      <c r="M404" s="7"/>
      <c r="O404" s="85" t="s">
        <v>3188</v>
      </c>
      <c r="P404" s="7">
        <f>INDEX(Liste[],$E$2,325)</f>
        <v>0</v>
      </c>
    </row>
    <row r="405" spans="13:16" x14ac:dyDescent="0.2">
      <c r="M405" s="7"/>
      <c r="O405" s="85" t="s">
        <v>3189</v>
      </c>
      <c r="P405" s="7">
        <f>INDEX(Liste[],$E$2,326)</f>
        <v>0</v>
      </c>
    </row>
    <row r="406" spans="13:16" x14ac:dyDescent="0.2">
      <c r="M406" s="7"/>
      <c r="O406" s="85" t="s">
        <v>3190</v>
      </c>
      <c r="P406" s="7">
        <f>INDEX(Liste[],$E$2,327)</f>
        <v>0</v>
      </c>
    </row>
    <row r="407" spans="13:16" x14ac:dyDescent="0.2">
      <c r="M407" s="7"/>
      <c r="O407" s="85" t="s">
        <v>3191</v>
      </c>
      <c r="P407" s="7">
        <f>INDEX(Liste[],$E$2,328)</f>
        <v>0</v>
      </c>
    </row>
    <row r="408" spans="13:16" x14ac:dyDescent="0.2">
      <c r="M408" s="7"/>
      <c r="O408" s="85" t="s">
        <v>3192</v>
      </c>
      <c r="P408" s="7">
        <f>INDEX(Liste[],$E$2,329)</f>
        <v>0</v>
      </c>
    </row>
    <row r="409" spans="13:16" x14ac:dyDescent="0.2">
      <c r="M409" s="7"/>
      <c r="O409" s="85" t="s">
        <v>3193</v>
      </c>
      <c r="P409" s="7">
        <f>INDEX(Liste[],$E$2,330)</f>
        <v>0</v>
      </c>
    </row>
    <row r="410" spans="13:16" x14ac:dyDescent="0.2">
      <c r="M410" s="7"/>
      <c r="O410" s="85" t="s">
        <v>3194</v>
      </c>
      <c r="P410" s="7">
        <f>INDEX(Liste[],$E$2,331)</f>
        <v>0</v>
      </c>
    </row>
    <row r="411" spans="13:16" x14ac:dyDescent="0.2">
      <c r="M411" s="7"/>
      <c r="O411" s="85" t="s">
        <v>3195</v>
      </c>
      <c r="P411" s="7">
        <f>INDEX(Liste[],$E$2,332)</f>
        <v>0</v>
      </c>
    </row>
    <row r="412" spans="13:16" x14ac:dyDescent="0.2">
      <c r="M412" s="7"/>
      <c r="O412" s="85" t="s">
        <v>3196</v>
      </c>
      <c r="P412" s="7">
        <f>INDEX(Liste[],$E$2,333)</f>
        <v>0</v>
      </c>
    </row>
    <row r="413" spans="13:16" x14ac:dyDescent="0.2">
      <c r="M413" s="7"/>
      <c r="O413" s="85" t="s">
        <v>3197</v>
      </c>
      <c r="P413" s="7">
        <f>INDEX(Liste[],$E$2,334)</f>
        <v>0</v>
      </c>
    </row>
    <row r="414" spans="13:16" x14ac:dyDescent="0.2">
      <c r="M414" s="7"/>
      <c r="O414" s="85" t="s">
        <v>3198</v>
      </c>
      <c r="P414" s="7">
        <f>INDEX(Liste[],$E$2,335)</f>
        <v>0</v>
      </c>
    </row>
    <row r="415" spans="13:16" x14ac:dyDescent="0.2">
      <c r="M415" s="7"/>
      <c r="O415" s="85" t="s">
        <v>3199</v>
      </c>
      <c r="P415" s="7">
        <f>INDEX(Liste[],$E$2,336)</f>
        <v>0</v>
      </c>
    </row>
    <row r="416" spans="13:16" x14ac:dyDescent="0.2">
      <c r="M416" s="7"/>
      <c r="O416" s="85" t="s">
        <v>3200</v>
      </c>
      <c r="P416" s="7">
        <f>INDEX(Liste[],$E$2,337)</f>
        <v>0</v>
      </c>
    </row>
    <row r="417" spans="13:16" x14ac:dyDescent="0.2">
      <c r="M417" s="7"/>
      <c r="O417" s="85" t="s">
        <v>3201</v>
      </c>
      <c r="P417" s="7">
        <f>INDEX(Liste[],$E$2,338)</f>
        <v>0</v>
      </c>
    </row>
    <row r="418" spans="13:16" x14ac:dyDescent="0.2">
      <c r="M418" s="7"/>
      <c r="O418" s="85" t="s">
        <v>3202</v>
      </c>
      <c r="P418" s="7">
        <f>INDEX(Liste[],$E$2,339)</f>
        <v>0</v>
      </c>
    </row>
    <row r="419" spans="13:16" x14ac:dyDescent="0.2">
      <c r="M419" s="7"/>
      <c r="O419" s="85" t="s">
        <v>3203</v>
      </c>
      <c r="P419" s="7">
        <f>INDEX(Liste[],$E$2,340)</f>
        <v>0</v>
      </c>
    </row>
    <row r="420" spans="13:16" x14ac:dyDescent="0.2">
      <c r="M420" s="7"/>
      <c r="O420" s="85" t="s">
        <v>3204</v>
      </c>
      <c r="P420" s="7">
        <f>INDEX(Liste[],$E$2,341)</f>
        <v>7690000</v>
      </c>
    </row>
    <row r="421" spans="13:16" x14ac:dyDescent="0.2">
      <c r="M421" s="7"/>
      <c r="O421" s="85" t="s">
        <v>3205</v>
      </c>
      <c r="P421" s="7">
        <f>INDEX(Liste[],$E$2,342)</f>
        <v>7846000</v>
      </c>
    </row>
    <row r="422" spans="13:16" x14ac:dyDescent="0.2">
      <c r="M422" s="7"/>
      <c r="O422" s="85" t="s">
        <v>3206</v>
      </c>
      <c r="P422" s="7">
        <f>INDEX(Liste[],$E$2,343)</f>
        <v>0</v>
      </c>
    </row>
    <row r="423" spans="13:16" x14ac:dyDescent="0.2">
      <c r="M423" s="7"/>
      <c r="O423" s="85" t="s">
        <v>3207</v>
      </c>
      <c r="P423" s="7">
        <f>INDEX(Liste[],$E$2,344)</f>
        <v>0</v>
      </c>
    </row>
    <row r="424" spans="13:16" x14ac:dyDescent="0.2">
      <c r="M424" s="7"/>
      <c r="O424" s="85" t="s">
        <v>3208</v>
      </c>
      <c r="P424" s="7">
        <f>INDEX(Liste[],$E$2,345)</f>
        <v>0</v>
      </c>
    </row>
    <row r="425" spans="13:16" x14ac:dyDescent="0.2">
      <c r="M425" s="7"/>
      <c r="O425" s="85" t="s">
        <v>3209</v>
      </c>
      <c r="P425" s="7">
        <f>INDEX(Liste[],$E$2,346)</f>
        <v>0</v>
      </c>
    </row>
    <row r="426" spans="13:16" x14ac:dyDescent="0.2">
      <c r="M426" s="7"/>
      <c r="O426" s="85" t="s">
        <v>3210</v>
      </c>
      <c r="P426" s="7">
        <f>INDEX(Liste[],$E$2,347)</f>
        <v>289000</v>
      </c>
    </row>
    <row r="427" spans="13:16" x14ac:dyDescent="0.2">
      <c r="M427" s="7"/>
      <c r="O427" s="85" t="s">
        <v>3211</v>
      </c>
      <c r="P427" s="7">
        <f>INDEX(Liste[],$E$2,348)</f>
        <v>289000</v>
      </c>
    </row>
    <row r="428" spans="13:16" x14ac:dyDescent="0.2">
      <c r="M428" s="7"/>
      <c r="O428" s="85" t="s">
        <v>3212</v>
      </c>
      <c r="P428" s="7">
        <f>INDEX(Liste[],$E$2,349)</f>
        <v>0</v>
      </c>
    </row>
    <row r="429" spans="13:16" x14ac:dyDescent="0.2">
      <c r="M429" s="7"/>
      <c r="O429" s="85" t="s">
        <v>3213</v>
      </c>
      <c r="P429" s="7">
        <f>INDEX(Liste[],$E$2,350)</f>
        <v>0</v>
      </c>
    </row>
    <row r="430" spans="13:16" x14ac:dyDescent="0.2">
      <c r="M430" s="7"/>
      <c r="O430" s="85" t="s">
        <v>3214</v>
      </c>
      <c r="P430" s="7">
        <f>INDEX(Liste[],$E$2,351)</f>
        <v>0</v>
      </c>
    </row>
    <row r="431" spans="13:16" x14ac:dyDescent="0.2">
      <c r="M431" s="7"/>
      <c r="O431" s="85" t="s">
        <v>3215</v>
      </c>
      <c r="P431" s="7">
        <f>INDEX(Liste[],$E$2,352)</f>
        <v>0</v>
      </c>
    </row>
    <row r="432" spans="13:16" x14ac:dyDescent="0.2">
      <c r="M432" s="7"/>
      <c r="O432" s="85" t="s">
        <v>3216</v>
      </c>
      <c r="P432" s="7">
        <f>INDEX(Liste[],$E$2,353)</f>
        <v>0</v>
      </c>
    </row>
    <row r="433" spans="13:16" x14ac:dyDescent="0.2">
      <c r="M433" s="7"/>
      <c r="O433" s="85" t="s">
        <v>3217</v>
      </c>
      <c r="P433" s="7">
        <f>INDEX(Liste[],$E$2,354)</f>
        <v>0</v>
      </c>
    </row>
    <row r="434" spans="13:16" x14ac:dyDescent="0.2">
      <c r="M434" s="7"/>
      <c r="O434" s="85" t="s">
        <v>3218</v>
      </c>
      <c r="P434" s="7">
        <f>INDEX(Liste[],$E$2,355)</f>
        <v>0</v>
      </c>
    </row>
    <row r="435" spans="13:16" x14ac:dyDescent="0.2">
      <c r="M435" s="7"/>
      <c r="O435" s="85" t="s">
        <v>3219</v>
      </c>
      <c r="P435" s="7">
        <f>INDEX(Liste[],$E$2,356)</f>
        <v>0</v>
      </c>
    </row>
    <row r="436" spans="13:16" x14ac:dyDescent="0.2">
      <c r="M436" s="7"/>
      <c r="O436" s="85" t="s">
        <v>3220</v>
      </c>
      <c r="P436" s="7">
        <f>INDEX(Liste[],$E$2,357)</f>
        <v>0</v>
      </c>
    </row>
    <row r="437" spans="13:16" x14ac:dyDescent="0.2">
      <c r="M437" s="7"/>
      <c r="O437" s="85" t="s">
        <v>3221</v>
      </c>
      <c r="P437" s="7">
        <f>INDEX(Liste[],$E$2,358)</f>
        <v>0</v>
      </c>
    </row>
    <row r="438" spans="13:16" x14ac:dyDescent="0.2">
      <c r="M438" s="7"/>
      <c r="O438" s="85" t="s">
        <v>3222</v>
      </c>
      <c r="P438" s="7">
        <f>INDEX(Liste[],$E$2,359)</f>
        <v>0</v>
      </c>
    </row>
    <row r="439" spans="13:16" x14ac:dyDescent="0.2">
      <c r="M439" s="7"/>
      <c r="O439" s="85" t="s">
        <v>3223</v>
      </c>
      <c r="P439" s="7">
        <f>INDEX(Liste[],$E$2,360)</f>
        <v>0</v>
      </c>
    </row>
    <row r="440" spans="13:16" x14ac:dyDescent="0.2">
      <c r="M440" s="7"/>
      <c r="O440" s="85" t="s">
        <v>3224</v>
      </c>
      <c r="P440" s="7">
        <f>INDEX(Liste[],$E$2,361)</f>
        <v>0</v>
      </c>
    </row>
    <row r="441" spans="13:16" x14ac:dyDescent="0.2">
      <c r="M441" s="7"/>
      <c r="O441" s="85" t="s">
        <v>3225</v>
      </c>
      <c r="P441" s="7">
        <f>INDEX(Liste[],$E$2,362)</f>
        <v>0</v>
      </c>
    </row>
    <row r="442" spans="13:16" x14ac:dyDescent="0.2">
      <c r="M442" s="7"/>
      <c r="O442" s="85" t="s">
        <v>3226</v>
      </c>
      <c r="P442" s="7">
        <f>INDEX(Liste[],$E$2,363)</f>
        <v>0</v>
      </c>
    </row>
    <row r="443" spans="13:16" x14ac:dyDescent="0.2">
      <c r="M443" s="7"/>
      <c r="O443" s="85" t="s">
        <v>3227</v>
      </c>
      <c r="P443" s="7">
        <f>INDEX(Liste[],$E$2,364)</f>
        <v>0</v>
      </c>
    </row>
    <row r="444" spans="13:16" x14ac:dyDescent="0.2">
      <c r="M444" s="7"/>
      <c r="O444" s="85" t="s">
        <v>3228</v>
      </c>
      <c r="P444" s="7">
        <f>INDEX(Liste[],$E$2,365)</f>
        <v>0</v>
      </c>
    </row>
    <row r="445" spans="13:16" x14ac:dyDescent="0.2">
      <c r="M445" s="7"/>
      <c r="O445" s="85" t="s">
        <v>3229</v>
      </c>
      <c r="P445" s="7">
        <f>INDEX(Liste[],$E$2,366)</f>
        <v>0</v>
      </c>
    </row>
    <row r="446" spans="13:16" x14ac:dyDescent="0.2">
      <c r="M446" s="7"/>
      <c r="O446" s="85" t="str">
        <f>LISTE!MJ1</f>
        <v>Passif (bilan):Primes d'émission, de fusion, d'apport Année N-1</v>
      </c>
      <c r="P446" s="7">
        <f>INDEX(Liste[],$E$2,367)</f>
        <v>4778000</v>
      </c>
    </row>
    <row r="447" spans="13:16" x14ac:dyDescent="0.2">
      <c r="M447" s="7"/>
      <c r="O447" s="85" t="str">
        <f>LISTE!MK1</f>
        <v>Passif (bilan):Produit des émissions de titres participatifs Année N</v>
      </c>
      <c r="P447" s="7">
        <f>INDEX(Liste[],$E$2,368)</f>
        <v>3671000</v>
      </c>
    </row>
    <row r="448" spans="13:16" x14ac:dyDescent="0.2">
      <c r="M448" s="7"/>
      <c r="O448" s="85" t="str">
        <f>LISTE!ML1</f>
        <v>Passif (bilan):Produit des émissions de titres participatifs Année N-1</v>
      </c>
      <c r="P448" s="7">
        <f>INDEX(Liste[],$E$2,369)</f>
        <v>0</v>
      </c>
    </row>
    <row r="449" spans="13:16" x14ac:dyDescent="0.2">
      <c r="M449" s="7"/>
      <c r="O449" s="85" t="str">
        <f>LISTE!MM1</f>
        <v>Passif (bilan):Produits constatés d'avance (2) Année N</v>
      </c>
      <c r="P449" s="7">
        <f>INDEX(Liste[],$E$2,370)</f>
        <v>0</v>
      </c>
    </row>
    <row r="450" spans="13:16" x14ac:dyDescent="0.2">
      <c r="M450" s="7"/>
      <c r="O450" s="85" t="str">
        <f>LISTE!MN1</f>
        <v>Passif (bilan):Produits constatés d'avance (2) Année N-1</v>
      </c>
      <c r="P450" s="7">
        <f>INDEX(Liste[],$E$2,371)</f>
        <v>32088000</v>
      </c>
    </row>
    <row r="451" spans="13:16" x14ac:dyDescent="0.2">
      <c r="M451" s="7"/>
      <c r="O451" s="85" t="str">
        <f>LISTE!MO1</f>
        <v>Passif (bilan):Provisions pour charges Année N</v>
      </c>
      <c r="P451" s="7">
        <f>INDEX(Liste[],$E$2,372)</f>
        <v>28828000</v>
      </c>
    </row>
    <row r="452" spans="13:16" x14ac:dyDescent="0.2">
      <c r="M452" s="7"/>
      <c r="O452" s="85" t="str">
        <f>LISTE!MP1</f>
        <v>Passif (bilan):Provisions pour charges Année N-1</v>
      </c>
      <c r="P452" s="7">
        <f>INDEX(Liste[],$E$2,373)</f>
        <v>0</v>
      </c>
    </row>
    <row r="453" spans="13:16" x14ac:dyDescent="0.2">
      <c r="M453" s="7"/>
      <c r="O453" s="85" t="str">
        <f>LISTE!MQ1</f>
        <v>Passif (bilan):Provisions pour risques Année N</v>
      </c>
      <c r="P453" s="7">
        <f>INDEX(Liste[],$E$2,374)</f>
        <v>0</v>
      </c>
    </row>
    <row r="454" spans="13:16" x14ac:dyDescent="0.2">
      <c r="M454" s="7"/>
      <c r="O454" s="85" t="str">
        <f>LISTE!MR1</f>
        <v>Passif (bilan):Provisions pour risques Année N-1</v>
      </c>
      <c r="P454" s="7">
        <f>INDEX(Liste[],$E$2,375)</f>
        <v>0</v>
      </c>
    </row>
    <row r="455" spans="13:16" x14ac:dyDescent="0.2">
      <c r="M455" s="7"/>
      <c r="O455" s="85" t="str">
        <f>LISTE!MS1</f>
        <v>Passif (bilan):Provisions réglementées Année N</v>
      </c>
      <c r="P455" s="7">
        <f>INDEX(Liste[],$E$2,376)</f>
        <v>0</v>
      </c>
    </row>
    <row r="456" spans="13:16" x14ac:dyDescent="0.2">
      <c r="M456" s="7"/>
      <c r="O456" s="85" t="str">
        <f>LISTE!MT1</f>
        <v>Passif (bilan):Provisions réglementées Année N-1</v>
      </c>
      <c r="P456" s="7">
        <f>INDEX(Liste[],$E$2,377)</f>
        <v>33761000</v>
      </c>
    </row>
    <row r="457" spans="13:16" x14ac:dyDescent="0.2">
      <c r="M457" s="7"/>
      <c r="O457" s="85" t="str">
        <f>LISTE!MU1</f>
        <v>Passif (bilan):Report à nouveau Année N</v>
      </c>
      <c r="P457" s="7">
        <f>INDEX(Liste[],$E$2,378)</f>
        <v>36034000</v>
      </c>
    </row>
    <row r="458" spans="13:16" x14ac:dyDescent="0.2">
      <c r="M458" s="7"/>
      <c r="O458" s="85" t="str">
        <f>LISTE!MV1</f>
        <v>Passif (bilan):Report à nouveau Année N-1</v>
      </c>
      <c r="P458" s="7">
        <f>INDEX(Liste[],$E$2,379)</f>
        <v>67199000</v>
      </c>
    </row>
    <row r="459" spans="13:16" x14ac:dyDescent="0.2">
      <c r="M459" s="7"/>
      <c r="O459" s="85" t="str">
        <f>LISTE!MW1</f>
        <v>Passif (bilan):Réserve légale (1) Année N</v>
      </c>
      <c r="P459" s="7">
        <f>INDEX(Liste[],$E$2,380)</f>
        <v>66631000</v>
      </c>
    </row>
    <row r="460" spans="13:16" x14ac:dyDescent="0.2">
      <c r="M460" s="7"/>
      <c r="O460" s="85" t="str">
        <f>LISTE!MX1</f>
        <v>Passif (bilan):Réserve légale (1) Année N-1</v>
      </c>
      <c r="P460" s="7" t="str">
        <f>INDEX(Liste[],$E$2,381)</f>
        <v>92390 VILLENEUVE LA GARENNE</v>
      </c>
    </row>
    <row r="461" spans="13:16" x14ac:dyDescent="0.2">
      <c r="M461" s="7"/>
      <c r="O461" s="85" t="str">
        <f>LISTE!MY1</f>
        <v>Passif (bilan):Réserves réglementées (1) Année N</v>
      </c>
      <c r="P461" s="7" t="str">
        <f>INDEX(Liste[],$E$2,382)</f>
        <v>7010Z</v>
      </c>
    </row>
    <row r="462" spans="13:16" x14ac:dyDescent="0.2">
      <c r="M462" s="7"/>
      <c r="O462" s="85" t="str">
        <f>LISTE!MZ1</f>
        <v>Passif (bilan):Réserves réglementées (1) Année N-1</v>
      </c>
      <c r="P462" s="7" t="str">
        <f>INDEX(Liste[],$E$2,383)</f>
        <v>Comptes annuels non confidentiels</v>
      </c>
    </row>
    <row r="463" spans="13:16" x14ac:dyDescent="0.2">
      <c r="M463" s="7"/>
      <c r="O463" s="85" t="str">
        <f>LISTE!NA1</f>
        <v>Passif (bilan):Réserves statutaires ou contractuelles Année N</v>
      </c>
      <c r="P463" s="7" t="str">
        <f>INDEX(Liste[],$E$2,384)</f>
        <v>EUR</v>
      </c>
    </row>
    <row r="464" spans="13:16" x14ac:dyDescent="0.2">
      <c r="M464" s="7"/>
      <c r="O464" s="85" t="str">
        <f>LISTE!NB1</f>
        <v>Passif (bilan):Réserves statutaires ou contractuelles Année N-1</v>
      </c>
      <c r="P464" s="7">
        <f>INDEX(Liste[],$E$2,385)</f>
        <v>9201</v>
      </c>
    </row>
    <row r="465" spans="13:16" x14ac:dyDescent="0.2">
      <c r="M465" s="7"/>
      <c r="O465" s="85" t="str">
        <f>LISTE!NC1</f>
        <v>Passif (bilan):Résultat consolidé part du groupe Année N</v>
      </c>
      <c r="P465" s="7" t="str">
        <f>INDEX(Liste[],$E$2,386)</f>
        <v>01</v>
      </c>
    </row>
    <row r="466" spans="13:16" x14ac:dyDescent="0.2">
      <c r="M466" s="7"/>
      <c r="O466" s="85" t="str">
        <f>LISTE!ND1</f>
        <v>Passif (bilan):Résultat consolidé part du groupe Année N-1</v>
      </c>
      <c r="P466" s="7" t="str">
        <f>INDEX(Liste[],$E$2,387)</f>
        <v>O</v>
      </c>
    </row>
    <row r="467" spans="13:16" x14ac:dyDescent="0.2">
      <c r="M467" s="7"/>
      <c r="O467" s="85" t="str">
        <f>LISTE!NE1</f>
        <v>Passif (bilan):Subventions d'investissement Année N</v>
      </c>
      <c r="P467" s="7" t="str">
        <f>INDEX(Liste[],$E$2,388)</f>
        <v>K</v>
      </c>
    </row>
    <row r="468" spans="13:16" x14ac:dyDescent="0.2">
      <c r="M468" s="7"/>
      <c r="O468" s="85" t="str">
        <f>LISTE!NF1</f>
        <v>Passif (bilan):Subventions d'investissement Année N-1</v>
      </c>
      <c r="P468" s="7">
        <f>INDEX(Liste[],$E$2,389)</f>
        <v>42978</v>
      </c>
    </row>
    <row r="469" spans="13:16" x14ac:dyDescent="0.2">
      <c r="M469" s="7"/>
      <c r="O469" s="85" t="str">
        <f>LISTE!NG1</f>
        <v>Passif (bilan):TOTAL (I) Année N</v>
      </c>
      <c r="P469" s="7">
        <f>INDEX(Liste[],$E$2,390)</f>
        <v>42613</v>
      </c>
    </row>
    <row r="470" spans="13:16" x14ac:dyDescent="0.2">
      <c r="M470" s="7"/>
      <c r="O470" s="85" t="str">
        <f>LISTE!NH1</f>
        <v>Passif (bilan):TOTAL (I) Année N-1</v>
      </c>
      <c r="P470" s="7">
        <f>INDEX(Liste[],$E$2,391)</f>
        <v>43132</v>
      </c>
    </row>
    <row r="471" spans="13:16" x14ac:dyDescent="0.2">
      <c r="M471" s="7"/>
      <c r="O471" s="85" t="str">
        <f>LISTE!NI1</f>
        <v>Passif (bilan):TOTAL (II) Année N</v>
      </c>
      <c r="P471" s="7" t="str">
        <f>INDEX(Liste[],$E$2,392)</f>
        <v>RACE INDUSTRIES</v>
      </c>
    </row>
    <row r="472" spans="13:16" x14ac:dyDescent="0.2">
      <c r="M472" s="7"/>
      <c r="O472" s="85" t="str">
        <f>LISTE!NJ1</f>
        <v>Passif (bilan):TOTAL (II) Année N-1</v>
      </c>
      <c r="P472" s="7">
        <f>INDEX(Liste[],$E$2,393)</f>
        <v>12</v>
      </c>
    </row>
    <row r="473" spans="13:16" x14ac:dyDescent="0.2">
      <c r="M473" s="7"/>
      <c r="O473" s="85" t="str">
        <f>LISTE!NK1</f>
        <v>Passif (bilan):TOTAL (III) Année N</v>
      </c>
      <c r="P473" s="7" t="str">
        <f>INDEX(Liste[],$E$2,394)</f>
        <v>00</v>
      </c>
    </row>
    <row r="474" spans="13:16" x14ac:dyDescent="0.2">
      <c r="M474" s="7"/>
      <c r="O474" s="85" t="str">
        <f>LISTE!NL1</f>
        <v>Passif (bilan):TOTAL (III) Année N-1</v>
      </c>
      <c r="P474" s="7" t="str">
        <f>INDEX(Liste[],$E$2,395)</f>
        <v>3615</v>
      </c>
    </row>
    <row r="475" spans="13:16" x14ac:dyDescent="0.2">
      <c r="M475" s="7"/>
      <c r="O475" s="85" t="str">
        <f>LISTE!NM1</f>
        <v>Passif (bilan):TOTAL (IV) Année N</v>
      </c>
      <c r="P475" s="7" t="str">
        <f>INDEX(Liste[],$E$2,396)</f>
        <v>2015B03721</v>
      </c>
    </row>
    <row r="476" spans="13:16" x14ac:dyDescent="0.2">
      <c r="M476" s="7"/>
      <c r="O476" s="85" t="str">
        <f>LISTE!NN1</f>
        <v>Passif (bilan):TOTAL (IV) Année N-1</v>
      </c>
      <c r="P476" s="7" t="str">
        <f>INDEX(Liste[],$E$2,397)</f>
        <v>811337203</v>
      </c>
    </row>
    <row r="477" spans="13:16" x14ac:dyDescent="0.2">
      <c r="M477" s="7"/>
      <c r="O477" s="85" t="str">
        <f>LISTE!NO1</f>
        <v>Passif (bilan):TOTAL GENERAL (I à V) Année N</v>
      </c>
      <c r="P477" s="7" t="str">
        <f>INDEX(Liste[],$E$2,398)</f>
        <v>NANTERRE</v>
      </c>
    </row>
    <row r="478" spans="13:16" x14ac:dyDescent="0.2">
      <c r="M478" s="7"/>
      <c r="O478" s="85" t="str">
        <f>LISTE!NP1</f>
        <v>Passif (bilan):TOTAL GENERAL (I à V) Année N-1</v>
      </c>
      <c r="P478" s="7" t="str">
        <f>INDEX(Liste[],$E$2,399)</f>
        <v>SAISIE</v>
      </c>
    </row>
    <row r="479" spans="13:16" x14ac:dyDescent="0.2">
      <c r="M479" s="7"/>
      <c r="O479" s="82" t="str">
        <f>LISTE!NQ1</f>
        <v>CP VILLE</v>
      </c>
      <c r="P479" s="7" t="s">
        <v>1789</v>
      </c>
    </row>
    <row r="480" spans="13:16" x14ac:dyDescent="0.2">
      <c r="M480" s="7"/>
      <c r="O480" s="82" t="str">
        <f>LISTE!NR1</f>
        <v>CODE NAF</v>
      </c>
    </row>
    <row r="481" spans="13:15" x14ac:dyDescent="0.2">
      <c r="M481" s="7"/>
      <c r="O481" s="82" t="str">
        <f>LISTE!NS1</f>
        <v>Confidentialité</v>
      </c>
    </row>
    <row r="482" spans="13:15" x14ac:dyDescent="0.2">
      <c r="M482" s="7"/>
      <c r="O482" s="82" t="str">
        <f>LISTE!NT1</f>
        <v>Code devise</v>
      </c>
    </row>
    <row r="483" spans="13:15" x14ac:dyDescent="0.2">
      <c r="M483" s="7"/>
      <c r="O483" s="82" t="str">
        <f>LISTE!NU1</f>
        <v>code_greffe</v>
      </c>
    </row>
    <row r="484" spans="13:15" x14ac:dyDescent="0.2">
      <c r="M484" s="7"/>
      <c r="O484" s="82" t="str">
        <f>LISTE!NV1</f>
        <v>code_motif</v>
      </c>
    </row>
    <row r="485" spans="13:15" x14ac:dyDescent="0.2">
      <c r="M485" s="7"/>
      <c r="O485" s="82" t="str">
        <f>LISTE!NW1</f>
        <v>code_origine_devise</v>
      </c>
    </row>
    <row r="486" spans="13:15" x14ac:dyDescent="0.2">
      <c r="M486" s="7"/>
      <c r="O486" s="82" t="str">
        <f>LISTE!NX1</f>
        <v>code_type_bilan</v>
      </c>
    </row>
    <row r="487" spans="13:15" x14ac:dyDescent="0.2">
      <c r="M487" s="7"/>
      <c r="O487" s="82" t="str">
        <f>LISTE!NY1</f>
        <v>Date de cloture de l'exercice</v>
      </c>
    </row>
    <row r="488" spans="13:15" x14ac:dyDescent="0.2">
      <c r="M488" s="7"/>
      <c r="O488" s="82" t="str">
        <f>LISTE!NZ1</f>
        <v>Date de cloture de l'exercice n-1</v>
      </c>
    </row>
    <row r="489" spans="13:15" x14ac:dyDescent="0.2">
      <c r="M489" s="7"/>
      <c r="O489" s="82" t="str">
        <f>LISTE!OA1</f>
        <v>Date de dépôt</v>
      </c>
    </row>
    <row r="490" spans="13:15" x14ac:dyDescent="0.2">
      <c r="M490" s="7"/>
      <c r="O490" s="82" t="str">
        <f>LISTE!OB1</f>
        <v>Dénomination</v>
      </c>
    </row>
    <row r="491" spans="13:15" x14ac:dyDescent="0.2">
      <c r="M491" s="7"/>
      <c r="O491" s="82" t="str">
        <f>LISTE!OC1</f>
        <v>Durée de l'exercice n</v>
      </c>
    </row>
    <row r="492" spans="13:15" x14ac:dyDescent="0.2">
      <c r="M492" s="7"/>
      <c r="O492" s="82" t="str">
        <f>LISTE!OD1</f>
        <v>Durée de l'exercice n-1</v>
      </c>
    </row>
    <row r="493" spans="13:15" x14ac:dyDescent="0.2">
      <c r="M493" s="7"/>
      <c r="O493" s="82" t="str">
        <f>LISTE!OE1</f>
        <v>Numéro de dépôt</v>
      </c>
    </row>
    <row r="494" spans="13:15" x14ac:dyDescent="0.2">
      <c r="M494" s="7"/>
      <c r="O494" s="82" t="str">
        <f>LISTE!OF1</f>
        <v>Numéro de gestion</v>
      </c>
    </row>
    <row r="495" spans="13:15" x14ac:dyDescent="0.2">
      <c r="M495" s="7"/>
      <c r="O495" s="82" t="str">
        <f>LISTE!OG1</f>
        <v>Siren</v>
      </c>
    </row>
  </sheetData>
  <mergeCells count="2">
    <mergeCell ref="E71:F71"/>
    <mergeCell ref="E72:F72"/>
  </mergeCells>
  <hyperlinks>
    <hyperlink ref="C11" location="Vue!A75" display="Actif" xr:uid="{D0C386D1-9084-4A0C-8D93-E409BD319653}"/>
    <hyperlink ref="D11" location="Vue!B177" display="Passif" xr:uid="{45FEE08A-CEE3-4A38-8C5E-4EE4EA972490}"/>
    <hyperlink ref="E11" location="Vue!B260" display="Compte de résultat" xr:uid="{D676461F-603E-41F5-8EDF-77ACAD23981F}"/>
  </hyperlinks>
  <pageMargins left="0.23622047244094491" right="0.23622047244094491" top="0.74803149606299213" bottom="0.74803149606299213" header="0.31496062992125984" footer="0.31496062992125984"/>
  <pageSetup paperSize="9" scale="89" orientation="portrait" r:id="rId1"/>
  <headerFooter>
    <oddHeader>&amp;CRapport Consolidé DVDRisk</oddHeader>
    <oddFooter>&amp;C&amp;P/&amp;N&amp;RIDM / ALTARES D</oddFooter>
  </headerFooter>
  <rowBreaks count="3" manualBreakCount="3">
    <brk id="114" max="6" man="1"/>
    <brk id="254" max="6" man="1"/>
    <brk id="306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Drop Down 2">
              <controlPr defaultSize="0" print="0" autoLine="0" autoPict="0">
                <anchor moveWithCells="1">
                  <from>
                    <xdr:col>2</xdr:col>
                    <xdr:colOff>9525</xdr:colOff>
                    <xdr:row>0</xdr:row>
                    <xdr:rowOff>47625</xdr:rowOff>
                  </from>
                  <to>
                    <xdr:col>5</xdr:col>
                    <xdr:colOff>38100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5566D-D6FA-43A8-A37A-A7F4317F45CB}">
  <dimension ref="A1:OK9"/>
  <sheetViews>
    <sheetView workbookViewId="0">
      <selection sqref="A1:OK9"/>
    </sheetView>
  </sheetViews>
  <sheetFormatPr baseColWidth="10" defaultRowHeight="12.75" x14ac:dyDescent="0.2"/>
  <cols>
    <col min="1" max="2" width="25" bestFit="1" customWidth="1"/>
  </cols>
  <sheetData>
    <row r="1" spans="1:401" ht="13.5" thickBot="1" x14ac:dyDescent="0.25">
      <c r="A1" s="187" t="s">
        <v>3469</v>
      </c>
      <c r="B1" s="187" t="s">
        <v>3469</v>
      </c>
      <c r="C1" s="191" t="s">
        <v>76</v>
      </c>
      <c r="D1" s="191" t="s">
        <v>77</v>
      </c>
      <c r="E1" s="191" t="s">
        <v>78</v>
      </c>
      <c r="F1" s="191" t="s">
        <v>79</v>
      </c>
      <c r="G1" s="191" t="s">
        <v>80</v>
      </c>
      <c r="H1" s="191" t="s">
        <v>81</v>
      </c>
      <c r="I1" s="191" t="s">
        <v>82</v>
      </c>
      <c r="J1" s="191" t="s">
        <v>83</v>
      </c>
      <c r="K1" s="191" t="s">
        <v>84</v>
      </c>
      <c r="L1" s="191" t="s">
        <v>85</v>
      </c>
      <c r="M1" s="191" t="s">
        <v>2660</v>
      </c>
      <c r="N1" s="191" t="s">
        <v>2661</v>
      </c>
      <c r="O1" s="191" t="s">
        <v>2662</v>
      </c>
      <c r="P1" s="191" t="s">
        <v>2663</v>
      </c>
      <c r="Q1" s="191" t="s">
        <v>86</v>
      </c>
      <c r="R1" s="191" t="s">
        <v>87</v>
      </c>
      <c r="S1" s="191" t="s">
        <v>88</v>
      </c>
      <c r="T1" s="191" t="s">
        <v>89</v>
      </c>
      <c r="U1" s="191" t="s">
        <v>90</v>
      </c>
      <c r="V1" s="191" t="s">
        <v>91</v>
      </c>
      <c r="W1" s="191" t="s">
        <v>92</v>
      </c>
      <c r="X1" s="191" t="s">
        <v>93</v>
      </c>
      <c r="Y1" s="191" t="s">
        <v>94</v>
      </c>
      <c r="Z1" s="191" t="s">
        <v>95</v>
      </c>
      <c r="AA1" s="191" t="s">
        <v>96</v>
      </c>
      <c r="AB1" s="191" t="s">
        <v>97</v>
      </c>
      <c r="AC1" s="191" t="s">
        <v>98</v>
      </c>
      <c r="AD1" s="191" t="s">
        <v>99</v>
      </c>
      <c r="AE1" s="191" t="s">
        <v>100</v>
      </c>
      <c r="AF1" s="191" t="s">
        <v>101</v>
      </c>
      <c r="AG1" s="191" t="s">
        <v>102</v>
      </c>
      <c r="AH1" s="191" t="s">
        <v>103</v>
      </c>
      <c r="AI1" s="191" t="s">
        <v>104</v>
      </c>
      <c r="AJ1" s="191" t="s">
        <v>105</v>
      </c>
      <c r="AK1" s="191" t="s">
        <v>106</v>
      </c>
      <c r="AL1" s="191" t="s">
        <v>107</v>
      </c>
      <c r="AM1" s="191" t="s">
        <v>108</v>
      </c>
      <c r="AN1" s="191" t="s">
        <v>109</v>
      </c>
      <c r="AO1" s="191" t="s">
        <v>110</v>
      </c>
      <c r="AP1" s="191" t="s">
        <v>111</v>
      </c>
      <c r="AQ1" s="191" t="s">
        <v>112</v>
      </c>
      <c r="AR1" s="191" t="s">
        <v>113</v>
      </c>
      <c r="AS1" s="191" t="s">
        <v>114</v>
      </c>
      <c r="AT1" s="191" t="s">
        <v>115</v>
      </c>
      <c r="AU1" s="191" t="s">
        <v>116</v>
      </c>
      <c r="AV1" s="191" t="s">
        <v>117</v>
      </c>
      <c r="AW1" s="191" t="s">
        <v>118</v>
      </c>
      <c r="AX1" s="191" t="s">
        <v>119</v>
      </c>
      <c r="AY1" s="191" t="s">
        <v>120</v>
      </c>
      <c r="AZ1" s="191" t="s">
        <v>121</v>
      </c>
      <c r="BA1" s="191" t="s">
        <v>122</v>
      </c>
      <c r="BB1" s="191" t="s">
        <v>123</v>
      </c>
      <c r="BC1" s="191" t="s">
        <v>124</v>
      </c>
      <c r="BD1" s="191" t="s">
        <v>125</v>
      </c>
      <c r="BE1" s="191" t="s">
        <v>126</v>
      </c>
      <c r="BF1" s="191" t="s">
        <v>127</v>
      </c>
      <c r="BG1" s="191" t="s">
        <v>128</v>
      </c>
      <c r="BH1" s="191" t="s">
        <v>129</v>
      </c>
      <c r="BI1" s="191" t="s">
        <v>130</v>
      </c>
      <c r="BJ1" s="191" t="s">
        <v>131</v>
      </c>
      <c r="BK1" s="191" t="s">
        <v>132</v>
      </c>
      <c r="BL1" s="191" t="s">
        <v>133</v>
      </c>
      <c r="BM1" s="191" t="s">
        <v>134</v>
      </c>
      <c r="BN1" s="191" t="s">
        <v>135</v>
      </c>
      <c r="BO1" s="191" t="s">
        <v>136</v>
      </c>
      <c r="BP1" s="191" t="s">
        <v>137</v>
      </c>
      <c r="BQ1" s="191" t="s">
        <v>138</v>
      </c>
      <c r="BR1" s="191" t="s">
        <v>139</v>
      </c>
      <c r="BS1" s="191" t="s">
        <v>2664</v>
      </c>
      <c r="BT1" s="191" t="s">
        <v>2665</v>
      </c>
      <c r="BU1" s="191" t="s">
        <v>2666</v>
      </c>
      <c r="BV1" s="191" t="s">
        <v>2667</v>
      </c>
      <c r="BW1" s="191" t="s">
        <v>140</v>
      </c>
      <c r="BX1" s="191" t="s">
        <v>141</v>
      </c>
      <c r="BY1" s="191" t="s">
        <v>142</v>
      </c>
      <c r="BZ1" s="191" t="s">
        <v>143</v>
      </c>
      <c r="CA1" s="191" t="s">
        <v>144</v>
      </c>
      <c r="CB1" s="191" t="s">
        <v>145</v>
      </c>
      <c r="CC1" s="191" t="s">
        <v>146</v>
      </c>
      <c r="CD1" s="191" t="s">
        <v>147</v>
      </c>
      <c r="CE1" s="191" t="s">
        <v>148</v>
      </c>
      <c r="CF1" s="191" t="s">
        <v>149</v>
      </c>
      <c r="CG1" s="191" t="s">
        <v>150</v>
      </c>
      <c r="CH1" s="191" t="s">
        <v>151</v>
      </c>
      <c r="CI1" s="191" t="s">
        <v>152</v>
      </c>
      <c r="CJ1" s="191" t="s">
        <v>153</v>
      </c>
      <c r="CK1" s="191" t="s">
        <v>154</v>
      </c>
      <c r="CL1" s="191" t="s">
        <v>155</v>
      </c>
      <c r="CM1" s="191" t="s">
        <v>156</v>
      </c>
      <c r="CN1" s="191" t="s">
        <v>157</v>
      </c>
      <c r="CO1" s="191" t="s">
        <v>158</v>
      </c>
      <c r="CP1" s="191" t="s">
        <v>159</v>
      </c>
      <c r="CQ1" s="191" t="s">
        <v>160</v>
      </c>
      <c r="CR1" s="191" t="s">
        <v>161</v>
      </c>
      <c r="CS1" s="191" t="s">
        <v>162</v>
      </c>
      <c r="CT1" s="191" t="s">
        <v>163</v>
      </c>
      <c r="CU1" s="191" t="s">
        <v>164</v>
      </c>
      <c r="CV1" s="191" t="s">
        <v>165</v>
      </c>
      <c r="CW1" s="191" t="s">
        <v>166</v>
      </c>
      <c r="CX1" s="191" t="s">
        <v>167</v>
      </c>
      <c r="CY1" s="191" t="s">
        <v>168</v>
      </c>
      <c r="CZ1" s="191" t="s">
        <v>169</v>
      </c>
      <c r="DA1" s="191" t="s">
        <v>170</v>
      </c>
      <c r="DB1" s="191" t="s">
        <v>171</v>
      </c>
      <c r="DC1" s="191" t="s">
        <v>172</v>
      </c>
      <c r="DD1" s="191" t="s">
        <v>173</v>
      </c>
      <c r="DE1" s="191" t="s">
        <v>174</v>
      </c>
      <c r="DF1" s="191" t="s">
        <v>175</v>
      </c>
      <c r="DG1" s="191" t="s">
        <v>176</v>
      </c>
      <c r="DH1" s="191" t="s">
        <v>177</v>
      </c>
      <c r="DI1" s="191" t="s">
        <v>178</v>
      </c>
      <c r="DJ1" s="191" t="s">
        <v>179</v>
      </c>
      <c r="DK1" s="191" t="s">
        <v>180</v>
      </c>
      <c r="DL1" s="191" t="s">
        <v>181</v>
      </c>
      <c r="DM1" s="191" t="s">
        <v>182</v>
      </c>
      <c r="DN1" s="191" t="s">
        <v>2668</v>
      </c>
      <c r="DO1" s="191" t="s">
        <v>2669</v>
      </c>
      <c r="DP1" s="191" t="s">
        <v>2670</v>
      </c>
      <c r="DQ1" s="191" t="s">
        <v>2671</v>
      </c>
      <c r="DR1" s="191" t="s">
        <v>183</v>
      </c>
      <c r="DS1" s="191" t="s">
        <v>184</v>
      </c>
      <c r="DT1" s="191" t="s">
        <v>185</v>
      </c>
      <c r="DU1" s="191" t="s">
        <v>186</v>
      </c>
      <c r="DV1" s="191" t="s">
        <v>2672</v>
      </c>
      <c r="DW1" s="191" t="s">
        <v>2673</v>
      </c>
      <c r="DX1" s="191" t="s">
        <v>2674</v>
      </c>
      <c r="DY1" s="191" t="s">
        <v>2675</v>
      </c>
      <c r="DZ1" s="191" t="s">
        <v>187</v>
      </c>
      <c r="EA1" s="191" t="s">
        <v>188</v>
      </c>
      <c r="EB1" s="191" t="s">
        <v>189</v>
      </c>
      <c r="EC1" s="191" t="s">
        <v>190</v>
      </c>
      <c r="ED1" s="191" t="s">
        <v>191</v>
      </c>
      <c r="EE1" s="191" t="s">
        <v>192</v>
      </c>
      <c r="EF1" s="191" t="s">
        <v>193</v>
      </c>
      <c r="EG1" s="191" t="s">
        <v>194</v>
      </c>
      <c r="EH1" s="191" t="s">
        <v>195</v>
      </c>
      <c r="EI1" s="194" t="s">
        <v>196</v>
      </c>
      <c r="EJ1" s="194" t="s">
        <v>197</v>
      </c>
      <c r="EK1" s="194" t="s">
        <v>198</v>
      </c>
      <c r="EL1" s="194" t="s">
        <v>199</v>
      </c>
      <c r="EM1" s="194" t="s">
        <v>200</v>
      </c>
      <c r="EN1" s="194" t="s">
        <v>201</v>
      </c>
      <c r="EO1" s="194" t="s">
        <v>202</v>
      </c>
      <c r="EP1" s="194" t="s">
        <v>203</v>
      </c>
      <c r="EQ1" s="194" t="s">
        <v>204</v>
      </c>
      <c r="ER1" s="194" t="s">
        <v>205</v>
      </c>
      <c r="ES1" s="194" t="s">
        <v>206</v>
      </c>
      <c r="ET1" s="194" t="s">
        <v>207</v>
      </c>
      <c r="EU1" s="194" t="s">
        <v>208</v>
      </c>
      <c r="EV1" s="194" t="s">
        <v>209</v>
      </c>
      <c r="EW1" s="194" t="s">
        <v>210</v>
      </c>
      <c r="EX1" s="194" t="s">
        <v>211</v>
      </c>
      <c r="EY1" s="194" t="s">
        <v>212</v>
      </c>
      <c r="EZ1" s="194" t="s">
        <v>213</v>
      </c>
      <c r="FA1" s="194" t="s">
        <v>214</v>
      </c>
      <c r="FB1" s="194" t="s">
        <v>215</v>
      </c>
      <c r="FC1" s="194" t="s">
        <v>216</v>
      </c>
      <c r="FD1" s="194" t="s">
        <v>217</v>
      </c>
      <c r="FE1" s="194" t="s">
        <v>2676</v>
      </c>
      <c r="FF1" s="194" t="s">
        <v>2677</v>
      </c>
      <c r="FG1" s="194" t="s">
        <v>2678</v>
      </c>
      <c r="FH1" s="194" t="s">
        <v>2679</v>
      </c>
      <c r="FI1" s="194" t="s">
        <v>218</v>
      </c>
      <c r="FJ1" s="194" t="s">
        <v>219</v>
      </c>
      <c r="FK1" s="194" t="s">
        <v>220</v>
      </c>
      <c r="FL1" s="194" t="s">
        <v>221</v>
      </c>
      <c r="FM1" s="194" t="s">
        <v>222</v>
      </c>
      <c r="FN1" s="194" t="s">
        <v>223</v>
      </c>
      <c r="FO1" s="194" t="s">
        <v>224</v>
      </c>
      <c r="FP1" s="194" t="s">
        <v>225</v>
      </c>
      <c r="FQ1" s="194" t="s">
        <v>226</v>
      </c>
      <c r="FR1" s="194" t="s">
        <v>227</v>
      </c>
      <c r="FS1" s="194" t="s">
        <v>228</v>
      </c>
      <c r="FT1" s="194" t="s">
        <v>229</v>
      </c>
      <c r="FU1" s="194" t="s">
        <v>1582</v>
      </c>
      <c r="FV1" s="194" t="s">
        <v>1583</v>
      </c>
      <c r="FW1" s="194" t="s">
        <v>1584</v>
      </c>
      <c r="FX1" s="194" t="s">
        <v>1585</v>
      </c>
      <c r="FY1" s="194" t="s">
        <v>2680</v>
      </c>
      <c r="FZ1" s="194" t="s">
        <v>2681</v>
      </c>
      <c r="GA1" s="194" t="s">
        <v>1586</v>
      </c>
      <c r="GB1" s="194" t="s">
        <v>1587</v>
      </c>
      <c r="GC1" s="194" t="s">
        <v>230</v>
      </c>
      <c r="GD1" s="194" t="s">
        <v>231</v>
      </c>
      <c r="GE1" s="194" t="s">
        <v>232</v>
      </c>
      <c r="GF1" s="194" t="s">
        <v>233</v>
      </c>
      <c r="GG1" s="194" t="s">
        <v>234</v>
      </c>
      <c r="GH1" s="194" t="s">
        <v>235</v>
      </c>
      <c r="GI1" s="194" t="s">
        <v>236</v>
      </c>
      <c r="GJ1" s="194" t="s">
        <v>237</v>
      </c>
      <c r="GK1" s="194" t="s">
        <v>238</v>
      </c>
      <c r="GL1" s="194" t="s">
        <v>239</v>
      </c>
      <c r="GM1" s="194" t="s">
        <v>240</v>
      </c>
      <c r="GN1" s="194" t="s">
        <v>241</v>
      </c>
      <c r="GO1" s="194" t="s">
        <v>242</v>
      </c>
      <c r="GP1" s="194" t="s">
        <v>243</v>
      </c>
      <c r="GQ1" s="194" t="s">
        <v>244</v>
      </c>
      <c r="GR1" s="194" t="s">
        <v>245</v>
      </c>
      <c r="GS1" s="194" t="s">
        <v>2682</v>
      </c>
      <c r="GT1" s="194" t="s">
        <v>2683</v>
      </c>
      <c r="GU1" s="194" t="s">
        <v>246</v>
      </c>
      <c r="GV1" s="194" t="s">
        <v>247</v>
      </c>
      <c r="GW1" s="194" t="s">
        <v>248</v>
      </c>
      <c r="GX1" s="194" t="s">
        <v>249</v>
      </c>
      <c r="GY1" s="194" t="s">
        <v>250</v>
      </c>
      <c r="GZ1" s="194" t="s">
        <v>251</v>
      </c>
      <c r="HA1" s="194" t="s">
        <v>2684</v>
      </c>
      <c r="HB1" s="194" t="s">
        <v>2685</v>
      </c>
      <c r="HC1" s="194" t="s">
        <v>252</v>
      </c>
      <c r="HD1" s="194" t="s">
        <v>253</v>
      </c>
      <c r="HE1" s="194" t="s">
        <v>254</v>
      </c>
      <c r="HF1" s="194" t="s">
        <v>255</v>
      </c>
      <c r="HG1" s="194" t="s">
        <v>2686</v>
      </c>
      <c r="HH1" s="194" t="s">
        <v>2687</v>
      </c>
      <c r="HI1" s="194" t="s">
        <v>256</v>
      </c>
      <c r="HJ1" s="194" t="s">
        <v>257</v>
      </c>
      <c r="HK1" s="194" t="s">
        <v>258</v>
      </c>
      <c r="HL1" s="194" t="s">
        <v>259</v>
      </c>
      <c r="HM1" s="194" t="s">
        <v>2688</v>
      </c>
      <c r="HN1" s="194" t="s">
        <v>2689</v>
      </c>
      <c r="HO1" s="194" t="s">
        <v>260</v>
      </c>
      <c r="HP1" s="194" t="s">
        <v>261</v>
      </c>
      <c r="HQ1" s="194" t="s">
        <v>262</v>
      </c>
      <c r="HR1" s="194" t="s">
        <v>263</v>
      </c>
      <c r="HS1" s="194" t="s">
        <v>264</v>
      </c>
      <c r="HT1" s="194" t="s">
        <v>265</v>
      </c>
      <c r="HU1" s="194" t="s">
        <v>266</v>
      </c>
      <c r="HV1" s="194" t="s">
        <v>267</v>
      </c>
      <c r="HW1" s="194" t="s">
        <v>268</v>
      </c>
      <c r="HX1" s="194" t="s">
        <v>269</v>
      </c>
      <c r="HY1" s="194" t="s">
        <v>270</v>
      </c>
      <c r="HZ1" s="194" t="s">
        <v>271</v>
      </c>
      <c r="IA1" s="194" t="s">
        <v>272</v>
      </c>
      <c r="IB1" s="194" t="s">
        <v>273</v>
      </c>
      <c r="IC1" s="194" t="s">
        <v>2690</v>
      </c>
      <c r="ID1" s="194" t="s">
        <v>2691</v>
      </c>
      <c r="IE1" s="194" t="s">
        <v>1588</v>
      </c>
      <c r="IF1" s="194" t="s">
        <v>1589</v>
      </c>
      <c r="IG1" s="194" t="s">
        <v>2692</v>
      </c>
      <c r="IH1" s="194" t="s">
        <v>2693</v>
      </c>
      <c r="II1" s="194" t="s">
        <v>274</v>
      </c>
      <c r="IJ1" s="194" t="s">
        <v>275</v>
      </c>
      <c r="IK1" s="194" t="s">
        <v>276</v>
      </c>
      <c r="IL1" s="194" t="s">
        <v>277</v>
      </c>
      <c r="IM1" s="194" t="s">
        <v>278</v>
      </c>
      <c r="IN1" s="194" t="s">
        <v>279</v>
      </c>
      <c r="IO1" s="194" t="s">
        <v>2694</v>
      </c>
      <c r="IP1" s="194" t="s">
        <v>2695</v>
      </c>
      <c r="IQ1" s="194" t="s">
        <v>280</v>
      </c>
      <c r="IR1" s="194" t="s">
        <v>281</v>
      </c>
      <c r="IS1" s="194" t="s">
        <v>2696</v>
      </c>
      <c r="IT1" s="194" t="s">
        <v>2697</v>
      </c>
      <c r="IU1" s="194" t="s">
        <v>282</v>
      </c>
      <c r="IV1" s="194" t="s">
        <v>283</v>
      </c>
      <c r="IW1" s="194" t="s">
        <v>284</v>
      </c>
      <c r="IX1" s="194" t="s">
        <v>285</v>
      </c>
      <c r="IY1" s="194" t="s">
        <v>286</v>
      </c>
      <c r="IZ1" s="194" t="s">
        <v>287</v>
      </c>
      <c r="JA1" s="194" t="s">
        <v>288</v>
      </c>
      <c r="JB1" s="194" t="s">
        <v>289</v>
      </c>
      <c r="JC1" s="194" t="s">
        <v>290</v>
      </c>
      <c r="JD1" s="194" t="s">
        <v>291</v>
      </c>
      <c r="JE1" s="194" t="s">
        <v>292</v>
      </c>
      <c r="JF1" s="194" t="s">
        <v>293</v>
      </c>
      <c r="JG1" s="194" t="s">
        <v>294</v>
      </c>
      <c r="JH1" s="194" t="s">
        <v>295</v>
      </c>
      <c r="JI1" s="194" t="s">
        <v>296</v>
      </c>
      <c r="JJ1" s="194" t="s">
        <v>297</v>
      </c>
      <c r="JK1" s="194" t="s">
        <v>2698</v>
      </c>
      <c r="JL1" s="194" t="s">
        <v>2699</v>
      </c>
      <c r="JM1" s="194" t="s">
        <v>298</v>
      </c>
      <c r="JN1" s="194" t="s">
        <v>299</v>
      </c>
      <c r="JO1" s="194" t="s">
        <v>300</v>
      </c>
      <c r="JP1" s="194" t="s">
        <v>301</v>
      </c>
      <c r="JQ1" s="194" t="s">
        <v>302</v>
      </c>
      <c r="JR1" s="194" t="s">
        <v>303</v>
      </c>
      <c r="JS1" s="194" t="s">
        <v>2700</v>
      </c>
      <c r="JT1" s="194" t="s">
        <v>2701</v>
      </c>
      <c r="JU1" s="194" t="s">
        <v>304</v>
      </c>
      <c r="JV1" s="194" t="s">
        <v>305</v>
      </c>
      <c r="JW1" s="194" t="s">
        <v>306</v>
      </c>
      <c r="JX1" s="194" t="s">
        <v>307</v>
      </c>
      <c r="JY1" s="194" t="s">
        <v>308</v>
      </c>
      <c r="JZ1" s="194" t="s">
        <v>309</v>
      </c>
      <c r="KA1" s="194" t="s">
        <v>310</v>
      </c>
      <c r="KB1" s="194" t="s">
        <v>311</v>
      </c>
      <c r="KC1" s="194" t="s">
        <v>312</v>
      </c>
      <c r="KD1" s="194" t="s">
        <v>313</v>
      </c>
      <c r="KE1" s="194" t="s">
        <v>314</v>
      </c>
      <c r="KF1" s="194" t="s">
        <v>315</v>
      </c>
      <c r="KG1" s="194" t="s">
        <v>316</v>
      </c>
      <c r="KH1" s="194" t="s">
        <v>317</v>
      </c>
      <c r="KI1" s="194" t="s">
        <v>318</v>
      </c>
      <c r="KJ1" s="194" t="s">
        <v>319</v>
      </c>
      <c r="KK1" s="194" t="s">
        <v>320</v>
      </c>
      <c r="KL1" s="194" t="s">
        <v>321</v>
      </c>
      <c r="KM1" s="194" t="s">
        <v>322</v>
      </c>
      <c r="KN1" s="194" t="s">
        <v>323</v>
      </c>
      <c r="KO1" s="194" t="s">
        <v>324</v>
      </c>
      <c r="KP1" s="194" t="s">
        <v>325</v>
      </c>
      <c r="KQ1" s="194" t="s">
        <v>326</v>
      </c>
      <c r="KR1" s="194" t="s">
        <v>327</v>
      </c>
      <c r="KS1" s="194" t="s">
        <v>328</v>
      </c>
      <c r="KT1" s="194" t="s">
        <v>329</v>
      </c>
      <c r="KU1" s="194" t="s">
        <v>330</v>
      </c>
      <c r="KV1" s="194" t="s">
        <v>331</v>
      </c>
      <c r="KW1" s="194" t="s">
        <v>332</v>
      </c>
      <c r="KX1" s="194" t="s">
        <v>333</v>
      </c>
      <c r="KY1" s="194" t="s">
        <v>1590</v>
      </c>
      <c r="KZ1" s="194" t="s">
        <v>1591</v>
      </c>
      <c r="LA1" s="194" t="s">
        <v>334</v>
      </c>
      <c r="LB1" s="194" t="s">
        <v>335</v>
      </c>
      <c r="LC1" s="194" t="s">
        <v>336</v>
      </c>
      <c r="LD1" s="194" t="s">
        <v>337</v>
      </c>
      <c r="LE1" s="194" t="s">
        <v>338</v>
      </c>
      <c r="LF1" s="194" t="s">
        <v>339</v>
      </c>
      <c r="LG1" s="194" t="s">
        <v>340</v>
      </c>
      <c r="LH1" s="194" t="s">
        <v>341</v>
      </c>
      <c r="LI1" s="194" t="s">
        <v>342</v>
      </c>
      <c r="LJ1" s="194" t="s">
        <v>343</v>
      </c>
      <c r="LK1" s="194" t="s">
        <v>344</v>
      </c>
      <c r="LL1" s="194" t="s">
        <v>345</v>
      </c>
      <c r="LM1" s="194" t="s">
        <v>346</v>
      </c>
      <c r="LN1" s="194" t="s">
        <v>347</v>
      </c>
      <c r="LO1" s="194" t="s">
        <v>348</v>
      </c>
      <c r="LP1" s="194" t="s">
        <v>349</v>
      </c>
      <c r="LQ1" s="194" t="s">
        <v>350</v>
      </c>
      <c r="LR1" s="194" t="s">
        <v>351</v>
      </c>
      <c r="LS1" s="194" t="s">
        <v>352</v>
      </c>
      <c r="LT1" s="194" t="s">
        <v>353</v>
      </c>
      <c r="LU1" s="194" t="s">
        <v>354</v>
      </c>
      <c r="LV1" s="194" t="s">
        <v>355</v>
      </c>
      <c r="LW1" s="194" t="s">
        <v>356</v>
      </c>
      <c r="LX1" s="194" t="s">
        <v>357</v>
      </c>
      <c r="LY1" s="194" t="s">
        <v>358</v>
      </c>
      <c r="LZ1" s="194" t="s">
        <v>359</v>
      </c>
      <c r="MA1" s="194" t="s">
        <v>2702</v>
      </c>
      <c r="MB1" s="194" t="s">
        <v>2703</v>
      </c>
      <c r="MC1" s="194" t="s">
        <v>2704</v>
      </c>
      <c r="MD1" s="194" t="s">
        <v>2705</v>
      </c>
      <c r="ME1" s="194" t="s">
        <v>360</v>
      </c>
      <c r="MF1" s="194" t="s">
        <v>361</v>
      </c>
      <c r="MG1" s="194" t="s">
        <v>1592</v>
      </c>
      <c r="MH1" s="194" t="s">
        <v>1593</v>
      </c>
      <c r="MI1" s="194" t="s">
        <v>362</v>
      </c>
      <c r="MJ1" s="194" t="s">
        <v>363</v>
      </c>
      <c r="MK1" s="194" t="s">
        <v>364</v>
      </c>
      <c r="ML1" s="194" t="s">
        <v>365</v>
      </c>
      <c r="MM1" s="194" t="s">
        <v>366</v>
      </c>
      <c r="MN1" s="194" t="s">
        <v>367</v>
      </c>
      <c r="MO1" s="194" t="s">
        <v>368</v>
      </c>
      <c r="MP1" s="194" t="s">
        <v>369</v>
      </c>
      <c r="MQ1" s="194" t="s">
        <v>370</v>
      </c>
      <c r="MR1" s="194" t="s">
        <v>371</v>
      </c>
      <c r="MS1" s="194" t="s">
        <v>372</v>
      </c>
      <c r="MT1" s="194" t="s">
        <v>373</v>
      </c>
      <c r="MU1" s="194" t="s">
        <v>374</v>
      </c>
      <c r="MV1" s="194" t="s">
        <v>375</v>
      </c>
      <c r="MW1" s="194" t="s">
        <v>376</v>
      </c>
      <c r="MX1" s="194" t="s">
        <v>377</v>
      </c>
      <c r="MY1" s="194" t="s">
        <v>378</v>
      </c>
      <c r="MZ1" s="194" t="s">
        <v>379</v>
      </c>
      <c r="NA1" s="194" t="s">
        <v>380</v>
      </c>
      <c r="NB1" s="194" t="s">
        <v>381</v>
      </c>
      <c r="NC1" s="194" t="s">
        <v>382</v>
      </c>
      <c r="ND1" s="194" t="s">
        <v>383</v>
      </c>
      <c r="NE1" s="194" t="s">
        <v>384</v>
      </c>
      <c r="NF1" s="194" t="s">
        <v>385</v>
      </c>
      <c r="NG1" s="194" t="s">
        <v>386</v>
      </c>
      <c r="NH1" s="194" t="s">
        <v>387</v>
      </c>
      <c r="NI1" s="194" t="s">
        <v>388</v>
      </c>
      <c r="NJ1" s="194" t="s">
        <v>389</v>
      </c>
      <c r="NK1" s="194" t="s">
        <v>390</v>
      </c>
      <c r="NL1" s="194" t="s">
        <v>391</v>
      </c>
      <c r="NM1" s="194" t="s">
        <v>392</v>
      </c>
      <c r="NN1" s="194" t="s">
        <v>393</v>
      </c>
      <c r="NO1" s="194" t="s">
        <v>394</v>
      </c>
      <c r="NP1" s="194" t="s">
        <v>395</v>
      </c>
      <c r="NQ1" s="191" t="s">
        <v>2880</v>
      </c>
      <c r="NR1" s="191" t="s">
        <v>2881</v>
      </c>
      <c r="NS1" s="191" t="s">
        <v>67</v>
      </c>
      <c r="NT1" s="191" t="s">
        <v>68</v>
      </c>
      <c r="NU1" s="191" t="s">
        <v>69</v>
      </c>
      <c r="NV1" s="191" t="s">
        <v>70</v>
      </c>
      <c r="NW1" s="191" t="s">
        <v>71</v>
      </c>
      <c r="NX1" s="191" t="s">
        <v>72</v>
      </c>
      <c r="NY1" s="191" t="s">
        <v>2888</v>
      </c>
      <c r="NZ1" s="191" t="s">
        <v>2889</v>
      </c>
      <c r="OA1" s="191" t="s">
        <v>73</v>
      </c>
      <c r="OB1" s="191" t="s">
        <v>74</v>
      </c>
      <c r="OC1" s="191" t="s">
        <v>2890</v>
      </c>
      <c r="OD1" s="191" t="s">
        <v>2891</v>
      </c>
      <c r="OE1" s="191" t="s">
        <v>75</v>
      </c>
      <c r="OF1" s="191" t="s">
        <v>2658</v>
      </c>
      <c r="OG1" s="191" t="s">
        <v>2892</v>
      </c>
      <c r="OH1" s="191" t="s">
        <v>62</v>
      </c>
      <c r="OI1" s="191" t="s">
        <v>63</v>
      </c>
      <c r="OJ1" s="191" t="s">
        <v>64</v>
      </c>
      <c r="OK1" s="193" t="s">
        <v>65</v>
      </c>
    </row>
    <row r="2" spans="1:401" ht="13.5" thickTop="1" x14ac:dyDescent="0.2">
      <c r="A2" s="188" t="s">
        <v>3470</v>
      </c>
      <c r="B2" s="188" t="s">
        <v>3470</v>
      </c>
      <c r="C2">
        <f>SUM(LISTE!C:C)</f>
        <v>921976</v>
      </c>
      <c r="D2" s="21">
        <f>SUM(LISTE!D:D)</f>
        <v>0</v>
      </c>
      <c r="E2" s="21">
        <f>SUM(LISTE!E:E)</f>
        <v>36015669</v>
      </c>
      <c r="F2" s="21">
        <f>SUM(LISTE!F:F)</f>
        <v>1727891344</v>
      </c>
      <c r="G2" s="21">
        <f>SUM(LISTE!G:G)</f>
        <v>1619026369</v>
      </c>
      <c r="H2" s="21">
        <f>SUM(LISTE!H:H)</f>
        <v>718255116</v>
      </c>
      <c r="I2" s="21">
        <f>SUM(LISTE!I:I)</f>
        <v>522637473</v>
      </c>
      <c r="J2" s="21">
        <f>SUM(LISTE!J:J)</f>
        <v>608560600</v>
      </c>
      <c r="K2" s="21">
        <f>SUM(LISTE!K:K)</f>
        <v>604464370</v>
      </c>
      <c r="L2" s="21">
        <f>SUM(LISTE!L:L)</f>
        <v>860149063</v>
      </c>
      <c r="M2" s="21">
        <f>SUM(LISTE!M:M)</f>
        <v>1049004</v>
      </c>
      <c r="N2" s="21">
        <f>SUM(LISTE!N:N)</f>
        <v>183031532</v>
      </c>
      <c r="O2" s="21">
        <f>SUM(LISTE!O:O)</f>
        <v>155836448</v>
      </c>
      <c r="P2" s="21">
        <f>SUM(LISTE!P:P)</f>
        <v>112051738</v>
      </c>
      <c r="Q2" s="21">
        <f>SUM(LISTE!Q:Q)</f>
        <v>80040860</v>
      </c>
      <c r="R2" s="21">
        <f>SUM(LISTE!R:R)</f>
        <v>1164112743</v>
      </c>
      <c r="S2" s="21">
        <f>SUM(LISTE!S:S)</f>
        <v>1016939683</v>
      </c>
      <c r="T2" s="21">
        <f>SUM(LISTE!T:T)</f>
        <v>195122767</v>
      </c>
      <c r="U2" s="21">
        <f>SUM(LISTE!U:U)</f>
        <v>4440949</v>
      </c>
      <c r="V2" s="21">
        <f>SUM(LISTE!V:V)</f>
        <v>42526720</v>
      </c>
      <c r="W2" s="21">
        <f>SUM(LISTE!W:W)</f>
        <v>34461451</v>
      </c>
      <c r="X2" s="21">
        <f>SUM(LISTE!X:X)</f>
        <v>46947674</v>
      </c>
      <c r="Y2" s="21">
        <f>SUM(LISTE!Y:Y)</f>
        <v>5456430</v>
      </c>
      <c r="Z2" s="21">
        <f>SUM(LISTE!Z:Z)</f>
        <v>70038596</v>
      </c>
      <c r="AA2" s="21">
        <f>SUM(LISTE!AA:AA)</f>
        <v>66944556</v>
      </c>
      <c r="AB2" s="21">
        <f>SUM(LISTE!AB:AB)</f>
        <v>69488117</v>
      </c>
      <c r="AC2" s="21">
        <f>SUM(LISTE!AC:AC)</f>
        <v>0</v>
      </c>
      <c r="AD2" s="21">
        <f>SUM(LISTE!AD:AD)</f>
        <v>18040846</v>
      </c>
      <c r="AE2" s="21">
        <f>SUM(LISTE!AE:AE)</f>
        <v>7718356</v>
      </c>
      <c r="AF2" s="21">
        <f>SUM(LISTE!AF:AF)</f>
        <v>12937425</v>
      </c>
      <c r="AG2" s="21">
        <f>SUM(LISTE!AG:AG)</f>
        <v>0</v>
      </c>
      <c r="AH2" s="21">
        <f>SUM(LISTE!AH:AH)</f>
        <v>901</v>
      </c>
      <c r="AI2" s="21">
        <f>SUM(LISTE!AI:AI)</f>
        <v>110472</v>
      </c>
      <c r="AJ2" s="21">
        <f>SUM(LISTE!AJ:AJ)</f>
        <v>901</v>
      </c>
      <c r="AK2" s="21">
        <f>SUM(LISTE!AK:AK)</f>
        <v>5647</v>
      </c>
      <c r="AL2" s="21">
        <f>SUM(LISTE!AL:AL)</f>
        <v>102970151</v>
      </c>
      <c r="AM2" s="21">
        <f>SUM(LISTE!AM:AM)</f>
        <v>86126342</v>
      </c>
      <c r="AN2" s="21">
        <f>SUM(LISTE!AN:AN)</f>
        <v>10922388</v>
      </c>
      <c r="AO2" s="21">
        <f>SUM(LISTE!AO:AO)</f>
        <v>0</v>
      </c>
      <c r="AP2" s="21">
        <f>SUM(LISTE!AP:AP)</f>
        <v>73609</v>
      </c>
      <c r="AQ2" s="21">
        <f>SUM(LISTE!AQ:AQ)</f>
        <v>22273</v>
      </c>
      <c r="AR2" s="21">
        <f>SUM(LISTE!AR:AR)</f>
        <v>73609</v>
      </c>
      <c r="AS2" s="21">
        <f>SUM(LISTE!AS:AS)</f>
        <v>635887</v>
      </c>
      <c r="AT2" s="21">
        <f>SUM(LISTE!AT:AT)</f>
        <v>377996</v>
      </c>
      <c r="AU2" s="21">
        <f>SUM(LISTE!AU:AU)</f>
        <v>494887</v>
      </c>
      <c r="AV2" s="21">
        <f>SUM(LISTE!AV:AV)</f>
        <v>63039351</v>
      </c>
      <c r="AW2" s="21">
        <f>SUM(LISTE!AW:AW)</f>
        <v>64847557</v>
      </c>
      <c r="AX2" s="21">
        <f>SUM(LISTE!AX:AX)</f>
        <v>80455538</v>
      </c>
      <c r="AY2" s="21">
        <f>SUM(LISTE!AY:AY)</f>
        <v>0</v>
      </c>
      <c r="AZ2" s="21">
        <f>SUM(LISTE!AZ:AZ)</f>
        <v>130855578</v>
      </c>
      <c r="BA2" s="21">
        <f>SUM(LISTE!BA:BA)</f>
        <v>126248325</v>
      </c>
      <c r="BB2" s="21">
        <f>SUM(LISTE!BB:BB)</f>
        <v>68528189</v>
      </c>
      <c r="BC2" s="21">
        <f>SUM(LISTE!BC:BC)</f>
        <v>65980301</v>
      </c>
      <c r="BD2" s="21">
        <f>SUM(LISTE!BD:BD)</f>
        <v>7159106035</v>
      </c>
      <c r="BE2" s="21">
        <f>SUM(LISTE!BE:BE)</f>
        <v>7101859474</v>
      </c>
      <c r="BF2" s="21">
        <f>SUM(LISTE!BF:BF)</f>
        <v>1906848157</v>
      </c>
      <c r="BG2" s="21">
        <f>SUM(LISTE!BG:BG)</f>
        <v>52088042</v>
      </c>
      <c r="BH2" s="21">
        <f>SUM(LISTE!BH:BH)</f>
        <v>23075199</v>
      </c>
      <c r="BI2" s="21">
        <f>SUM(LISTE!BI:BI)</f>
        <v>15938822</v>
      </c>
      <c r="BJ2" s="21">
        <f>SUM(LISTE!BJ:BJ)</f>
        <v>70487754</v>
      </c>
      <c r="BK2" s="21">
        <f>SUM(LISTE!BK:BK)</f>
        <v>1232987640</v>
      </c>
      <c r="BL2" s="21">
        <f>SUM(LISTE!BL:BL)</f>
        <v>1201282466</v>
      </c>
      <c r="BM2" s="21">
        <f>SUM(LISTE!BM:BM)</f>
        <v>1160112227</v>
      </c>
      <c r="BN2" s="21">
        <f>SUM(LISTE!BN:BN)</f>
        <v>2248856758</v>
      </c>
      <c r="BO2" s="21">
        <f>SUM(LISTE!BO:BO)</f>
        <v>739090</v>
      </c>
      <c r="BP2" s="21">
        <f>SUM(LISTE!BP:BP)</f>
        <v>28280717</v>
      </c>
      <c r="BQ2" s="21">
        <f>SUM(LISTE!BQ:BQ)</f>
        <v>23205721</v>
      </c>
      <c r="BR2" s="21">
        <f>SUM(LISTE!BR:BR)</f>
        <v>22661351</v>
      </c>
      <c r="BS2" s="21">
        <f>SUM(LISTE!BS:BS)</f>
        <v>0</v>
      </c>
      <c r="BT2" s="21">
        <f>SUM(LISTE!BT:BT)</f>
        <v>0</v>
      </c>
      <c r="BU2" s="21">
        <f>SUM(LISTE!BU:BU)</f>
        <v>0</v>
      </c>
      <c r="BV2" s="21">
        <f>SUM(LISTE!BV:BV)</f>
        <v>0</v>
      </c>
      <c r="BW2" s="21">
        <f>SUM(LISTE!BW:BW)</f>
        <v>0</v>
      </c>
      <c r="BX2" s="21">
        <f>SUM(LISTE!BX:BX)</f>
        <v>1602238246</v>
      </c>
      <c r="BY2" s="21">
        <f>SUM(LISTE!BY:BY)</f>
        <v>1386590877</v>
      </c>
      <c r="BZ2" s="21">
        <f>SUM(LISTE!BZ:BZ)</f>
        <v>692712128</v>
      </c>
      <c r="CA2" s="21">
        <f>SUM(LISTE!CA:CA)</f>
        <v>14673</v>
      </c>
      <c r="CB2" s="21">
        <f>SUM(LISTE!CB:CB)</f>
        <v>29359</v>
      </c>
      <c r="CC2" s="21">
        <f>SUM(LISTE!CC:CC)</f>
        <v>13790</v>
      </c>
      <c r="CD2" s="21">
        <f>SUM(LISTE!CD:CD)</f>
        <v>347095566</v>
      </c>
      <c r="CE2" s="21">
        <f>SUM(LISTE!CE:CE)</f>
        <v>7060047060</v>
      </c>
      <c r="CF2" s="21">
        <f>SUM(LISTE!CF:CF)</f>
        <v>6085778370</v>
      </c>
      <c r="CG2" s="21">
        <f>SUM(LISTE!CG:CG)</f>
        <v>1247887985</v>
      </c>
      <c r="CH2" s="21">
        <f>SUM(LISTE!CH:CH)</f>
        <v>390122</v>
      </c>
      <c r="CI2" s="21">
        <f>SUM(LISTE!CI:CI)</f>
        <v>63420678</v>
      </c>
      <c r="CJ2" s="21">
        <f>SUM(LISTE!CJ:CJ)</f>
        <v>70351814</v>
      </c>
      <c r="CK2" s="21">
        <f>SUM(LISTE!CK:CK)</f>
        <v>45348081</v>
      </c>
      <c r="CL2" s="21">
        <f>SUM(LISTE!CL:CL)</f>
        <v>0</v>
      </c>
      <c r="CM2" s="21">
        <f>SUM(LISTE!CM:CM)</f>
        <v>936637</v>
      </c>
      <c r="CN2" s="21">
        <f>SUM(LISTE!CN:CN)</f>
        <v>1357499</v>
      </c>
      <c r="CO2" s="21">
        <f>SUM(LISTE!CO:CO)</f>
        <v>921777</v>
      </c>
      <c r="CP2" s="21">
        <f>SUM(LISTE!CP:CP)</f>
        <v>30259775</v>
      </c>
      <c r="CQ2" s="21">
        <f>SUM(LISTE!CQ:CQ)</f>
        <v>156383401</v>
      </c>
      <c r="CR2" s="21">
        <f>SUM(LISTE!CR:CR)</f>
        <v>287881844</v>
      </c>
      <c r="CS2" s="21">
        <f>SUM(LISTE!CS:CS)</f>
        <v>163153426</v>
      </c>
      <c r="CT2" s="21">
        <f>SUM(LISTE!CT:CT)</f>
        <v>1155881</v>
      </c>
      <c r="CU2" s="21">
        <f>SUM(LISTE!CU:CU)</f>
        <v>1843973</v>
      </c>
      <c r="CV2" s="21">
        <f>SUM(LISTE!CV:CV)</f>
        <v>1293364</v>
      </c>
      <c r="CW2" s="21">
        <f>SUM(LISTE!CW:CW)</f>
        <v>2247038</v>
      </c>
      <c r="CX2" s="21">
        <f>SUM(LISTE!CX:CX)</f>
        <v>490835</v>
      </c>
      <c r="CY2" s="21">
        <f>SUM(LISTE!CY:CY)</f>
        <v>52065410</v>
      </c>
      <c r="CZ2" s="21">
        <f>SUM(LISTE!CZ:CZ)</f>
        <v>34082857</v>
      </c>
      <c r="DA2" s="21">
        <f>SUM(LISTE!DA:DA)</f>
        <v>875172</v>
      </c>
      <c r="DB2" s="21">
        <f>SUM(LISTE!DB:DB)</f>
        <v>64634</v>
      </c>
      <c r="DC2" s="21">
        <f>SUM(LISTE!DC:DC)</f>
        <v>102716821</v>
      </c>
      <c r="DD2" s="21">
        <f>SUM(LISTE!DD:DD)</f>
        <v>104863558</v>
      </c>
      <c r="DE2" s="21">
        <f>SUM(LISTE!DE:DE)</f>
        <v>69409325</v>
      </c>
      <c r="DF2" s="21">
        <f>SUM(LISTE!DF:DF)</f>
        <v>736617557</v>
      </c>
      <c r="DG2" s="21">
        <f>SUM(LISTE!DG:DG)</f>
        <v>511054033</v>
      </c>
      <c r="DH2" s="21">
        <f>SUM(LISTE!DH:DH)</f>
        <v>442889230</v>
      </c>
      <c r="DI2" s="21">
        <f>SUM(LISTE!DI:DI)</f>
        <v>974028882</v>
      </c>
      <c r="DJ2" s="21">
        <f>SUM(LISTE!DJ:DJ)</f>
        <v>32165758</v>
      </c>
      <c r="DK2" s="21">
        <f>SUM(LISTE!DK:DK)</f>
        <v>886698251</v>
      </c>
      <c r="DL2" s="21">
        <f>SUM(LISTE!DL:DL)</f>
        <v>895390893</v>
      </c>
      <c r="DM2" s="21">
        <f>SUM(LISTE!DM:DM)</f>
        <v>848522674</v>
      </c>
      <c r="DN2" s="21">
        <f>SUM(LISTE!DN:DN)</f>
        <v>1190369</v>
      </c>
      <c r="DO2" s="21">
        <f>SUM(LISTE!DO:DO)</f>
        <v>181239973</v>
      </c>
      <c r="DP2" s="21">
        <f>SUM(LISTE!DP:DP)</f>
        <v>164906858</v>
      </c>
      <c r="DQ2" s="21">
        <f>SUM(LISTE!DQ:DQ)</f>
        <v>100675932</v>
      </c>
      <c r="DR2" s="21">
        <f>SUM(LISTE!DR:DR)</f>
        <v>2922354</v>
      </c>
      <c r="DS2" s="21">
        <f>SUM(LISTE!DS:DS)</f>
        <v>89472646</v>
      </c>
      <c r="DT2" s="21">
        <f>SUM(LISTE!DT:DT)</f>
        <v>87229865</v>
      </c>
      <c r="DU2" s="21">
        <f>SUM(LISTE!DU:DU)</f>
        <v>50730807</v>
      </c>
      <c r="DV2" s="21">
        <f>SUM(LISTE!DV:DV)</f>
        <v>3443209</v>
      </c>
      <c r="DW2" s="21">
        <f>SUM(LISTE!DW:DW)</f>
        <v>16961577</v>
      </c>
      <c r="DX2" s="21">
        <f>SUM(LISTE!DX:DX)</f>
        <v>16732900</v>
      </c>
      <c r="DY2" s="21">
        <f>SUM(LISTE!DY:DY)</f>
        <v>20197841</v>
      </c>
      <c r="DZ2" s="21">
        <f>SUM(LISTE!DZ:DZ)</f>
        <v>164781</v>
      </c>
      <c r="EA2" s="21">
        <f>SUM(LISTE!EA:EA)</f>
        <v>471024</v>
      </c>
      <c r="EB2" s="21">
        <f>SUM(LISTE!EB:EB)</f>
        <v>164781</v>
      </c>
      <c r="EC2" s="21">
        <f>SUM(LISTE!EC:EC)</f>
        <v>4824898</v>
      </c>
      <c r="ED2" s="21">
        <f>SUM(LISTE!ED:ED)</f>
        <v>74606572</v>
      </c>
      <c r="EE2" s="21">
        <f>SUM(LISTE!EE:EE)</f>
        <v>78703990</v>
      </c>
      <c r="EF2" s="21">
        <f>SUM(LISTE!EF:EF)</f>
        <v>44536865</v>
      </c>
      <c r="EG2" s="21">
        <f>SUM(LISTE!EG:EG)</f>
        <v>82743898</v>
      </c>
      <c r="EH2" s="21">
        <f>SUM(LISTE!EH:EH)</f>
        <v>8115869973</v>
      </c>
      <c r="EI2" s="21">
        <f>SUM(LISTE!EI:EI)</f>
        <v>7669825421</v>
      </c>
      <c r="EJ2" s="21">
        <f>SUM(LISTE!EJ:EJ)</f>
        <v>410617866</v>
      </c>
      <c r="EK2" s="21">
        <f>SUM(LISTE!EK:EK)</f>
        <v>6154522883</v>
      </c>
      <c r="EL2" s="21">
        <f>SUM(LISTE!EL:EL)</f>
        <v>56749826910</v>
      </c>
      <c r="EM2" s="21">
        <f>SUM(LISTE!EM:EM)</f>
        <v>53330872715</v>
      </c>
      <c r="EN2" s="21">
        <f>SUM(LISTE!EN:EN)</f>
        <v>12272604905</v>
      </c>
      <c r="EO2" s="21">
        <f>SUM(LISTE!EO:EO)</f>
        <v>249829090</v>
      </c>
      <c r="EP2" s="21">
        <f>SUM(LISTE!EP:EP)</f>
        <v>71126919666</v>
      </c>
      <c r="EQ2" s="21">
        <f>SUM(LISTE!EQ:EQ)</f>
        <v>76890017714</v>
      </c>
      <c r="ER2" s="21">
        <f>SUM(LISTE!ER:ER)</f>
        <v>7613507775</v>
      </c>
      <c r="ES2" s="21">
        <f>SUM(LISTE!ES:ES)</f>
        <v>6464084609</v>
      </c>
      <c r="ET2" s="21">
        <f>SUM(LISTE!ET:ET)</f>
        <v>135143001373</v>
      </c>
      <c r="EU2" s="21">
        <f>SUM(LISTE!EU:EU)</f>
        <v>137246719079</v>
      </c>
      <c r="EV2" s="21">
        <f>SUM(LISTE!EV:EV)</f>
        <v>20166425843</v>
      </c>
      <c r="EW2" s="21">
        <f>SUM(LISTE!EW:EW)</f>
        <v>56158159</v>
      </c>
      <c r="EX2" s="21">
        <f>SUM(LISTE!EX:EX)</f>
        <v>309703090</v>
      </c>
      <c r="EY2" s="21">
        <f>SUM(LISTE!EY:EY)</f>
        <v>299130771</v>
      </c>
      <c r="EZ2" s="21">
        <f>SUM(LISTE!EZ:EZ)</f>
        <v>332764757</v>
      </c>
      <c r="FA2" s="21">
        <f>SUM(LISTE!FA:FA)</f>
        <v>33909185</v>
      </c>
      <c r="FB2" s="21">
        <f>SUM(LISTE!FB:FB)</f>
        <v>84032423</v>
      </c>
      <c r="FC2" s="21">
        <f>SUM(LISTE!FC:FC)</f>
        <v>82501999</v>
      </c>
      <c r="FD2" s="21">
        <f>SUM(LISTE!FD:FD)</f>
        <v>114917651</v>
      </c>
      <c r="FE2" s="21">
        <f>SUM(LISTE!FE:FE)</f>
        <v>3573044</v>
      </c>
      <c r="FF2" s="21">
        <f>SUM(LISTE!FF:FF)</f>
        <v>818889448</v>
      </c>
      <c r="FG2" s="21">
        <f>SUM(LISTE!FG:FG)</f>
        <v>779553483</v>
      </c>
      <c r="FH2" s="21">
        <f>SUM(LISTE!FH:FH)</f>
        <v>545672384</v>
      </c>
      <c r="FI2" s="21">
        <f>SUM(LISTE!FI:FI)</f>
        <v>-43561569</v>
      </c>
      <c r="FJ2" s="21">
        <f>SUM(LISTE!FJ:FJ)</f>
        <v>-34976768</v>
      </c>
      <c r="FK2" s="21">
        <f>SUM(LISTE!FK:FK)</f>
        <v>287406606</v>
      </c>
      <c r="FL2" s="21">
        <f>SUM(LISTE!FL:FL)</f>
        <v>196176176</v>
      </c>
      <c r="FM2" s="21">
        <f>SUM(LISTE!FM:FM)</f>
        <v>54978956</v>
      </c>
      <c r="FN2" s="21">
        <f>SUM(LISTE!FN:FN)</f>
        <v>46493508</v>
      </c>
      <c r="FO2" s="21">
        <f>SUM(LISTE!FO:FO)</f>
        <v>92449381</v>
      </c>
      <c r="FP2" s="21">
        <f>SUM(LISTE!FP:FP)</f>
        <v>30648213</v>
      </c>
      <c r="FQ2" s="21">
        <f>SUM(LISTE!FQ:FQ)</f>
        <v>-190184748</v>
      </c>
      <c r="FR2" s="21">
        <f>SUM(LISTE!FR:FR)</f>
        <v>-14777004</v>
      </c>
      <c r="FS2" s="21">
        <f>SUM(LISTE!FS:FS)</f>
        <v>35217101</v>
      </c>
      <c r="FT2" s="21">
        <f>SUM(LISTE!FT:FT)</f>
        <v>45453604</v>
      </c>
      <c r="FU2" s="21">
        <f>SUM(LISTE!FU:FU)</f>
        <v>14823426</v>
      </c>
      <c r="FV2" s="21">
        <f>SUM(LISTE!FV:FV)</f>
        <v>22361384</v>
      </c>
      <c r="FW2" s="21">
        <f>SUM(LISTE!FW:FW)</f>
        <v>-673853836</v>
      </c>
      <c r="FX2" s="21">
        <f>SUM(LISTE!FX:FX)</f>
        <v>-1910904809</v>
      </c>
      <c r="FY2" s="21">
        <f>SUM(LISTE!FY:FY)</f>
        <v>160705025</v>
      </c>
      <c r="FZ2" s="21">
        <f>SUM(LISTE!FZ:FZ)</f>
        <v>97235185</v>
      </c>
      <c r="GA2" s="21">
        <f>SUM(LISTE!GA:GA)</f>
        <v>4151146</v>
      </c>
      <c r="GB2" s="21">
        <f>SUM(LISTE!GB:GB)</f>
        <v>4889846</v>
      </c>
      <c r="GC2" s="21">
        <f>SUM(LISTE!GC:GC)</f>
        <v>16218951</v>
      </c>
      <c r="GD2" s="21">
        <f>SUM(LISTE!GD:GD)</f>
        <v>22542535</v>
      </c>
      <c r="GE2" s="21">
        <f>SUM(LISTE!GE:GE)</f>
        <v>118476182</v>
      </c>
      <c r="GF2" s="21">
        <f>SUM(LISTE!GF:GF)</f>
        <v>58686828</v>
      </c>
      <c r="GG2" s="21">
        <f>SUM(LISTE!GG:GG)</f>
        <v>-14895000</v>
      </c>
      <c r="GH2" s="21">
        <f>SUM(LISTE!GH:GH)</f>
        <v>-8088000</v>
      </c>
      <c r="GI2" s="21">
        <f>SUM(LISTE!GI:GI)</f>
        <v>0</v>
      </c>
      <c r="GJ2" s="21">
        <f>SUM(LISTE!GJ:GJ)</f>
        <v>-3075</v>
      </c>
      <c r="GK2" s="21">
        <f>SUM(LISTE!GK:GK)</f>
        <v>30711103</v>
      </c>
      <c r="GL2" s="21">
        <f>SUM(LISTE!GL:GL)</f>
        <v>42441143</v>
      </c>
      <c r="GM2" s="21">
        <f>SUM(LISTE!GM:GM)</f>
        <v>3111603856</v>
      </c>
      <c r="GN2" s="21">
        <f>SUM(LISTE!GN:GN)</f>
        <v>24758338823</v>
      </c>
      <c r="GO2" s="21">
        <f>SUM(LISTE!GO:GO)</f>
        <v>445552035</v>
      </c>
      <c r="GP2" s="21">
        <f>SUM(LISTE!GP:GP)</f>
        <v>497969226</v>
      </c>
      <c r="GQ2" s="21">
        <f>SUM(LISTE!GQ:GQ)</f>
        <v>5962555</v>
      </c>
      <c r="GR2" s="21">
        <f>SUM(LISTE!GR:GR)</f>
        <v>5112898</v>
      </c>
      <c r="GS2" s="21">
        <f>SUM(LISTE!GS:GS)</f>
        <v>4200405691</v>
      </c>
      <c r="GT2" s="21">
        <f>SUM(LISTE!GT:GT)</f>
        <v>4013079167</v>
      </c>
      <c r="GU2" s="21">
        <f>SUM(LISTE!GU:GU)</f>
        <v>259300552</v>
      </c>
      <c r="GV2" s="21">
        <f>SUM(LISTE!GV:GV)</f>
        <v>163987725</v>
      </c>
      <c r="GW2" s="21">
        <f>SUM(LISTE!GW:GW)</f>
        <v>219612992</v>
      </c>
      <c r="GX2" s="21">
        <f>SUM(LISTE!GX:GX)</f>
        <v>174884006</v>
      </c>
      <c r="GY2" s="21">
        <f>SUM(LISTE!GY:GY)</f>
        <v>6053958471</v>
      </c>
      <c r="GZ2" s="21">
        <f>SUM(LISTE!GZ:GZ)</f>
        <v>6287648942</v>
      </c>
      <c r="HA2" s="21">
        <f>SUM(LISTE!HA:HA)</f>
        <v>3045005396</v>
      </c>
      <c r="HB2" s="21">
        <f>SUM(LISTE!HB:HB)</f>
        <v>3146031422</v>
      </c>
      <c r="HC2" s="21">
        <f>SUM(LISTE!HC:HC)</f>
        <v>2957181649</v>
      </c>
      <c r="HD2" s="21">
        <f>SUM(LISTE!HD:HD)</f>
        <v>2559093701</v>
      </c>
      <c r="HE2" s="21">
        <f>SUM(LISTE!HE:HE)</f>
        <v>619926423</v>
      </c>
      <c r="HF2" s="21">
        <f>SUM(LISTE!HF:HF)</f>
        <v>620924385</v>
      </c>
      <c r="HG2" s="21">
        <f>SUM(LISTE!HG:HG)</f>
        <v>13375348</v>
      </c>
      <c r="HH2" s="21">
        <f>SUM(LISTE!HH:HH)</f>
        <v>16109615</v>
      </c>
      <c r="HI2" s="21">
        <f>SUM(LISTE!HI:HI)</f>
        <v>146655686</v>
      </c>
      <c r="HJ2" s="21">
        <f>SUM(LISTE!HJ:HJ)</f>
        <v>-67944252</v>
      </c>
      <c r="HK2" s="21">
        <f>SUM(LISTE!HK:HK)</f>
        <v>242593</v>
      </c>
      <c r="HL2" s="21">
        <f>SUM(LISTE!HL:HL)</f>
        <v>644165</v>
      </c>
      <c r="HM2" s="21">
        <f>SUM(LISTE!HM:HM)</f>
        <v>1655526</v>
      </c>
      <c r="HN2" s="21">
        <f>SUM(LISTE!HN:HN)</f>
        <v>1352117</v>
      </c>
      <c r="HO2" s="21">
        <f>SUM(LISTE!HO:HO)</f>
        <v>699669227</v>
      </c>
      <c r="HP2" s="21">
        <f>SUM(LISTE!HP:HP)</f>
        <v>426093054</v>
      </c>
      <c r="HQ2" s="21">
        <f>SUM(LISTE!HQ:HQ)</f>
        <v>11247666</v>
      </c>
      <c r="HR2" s="21">
        <f>SUM(LISTE!HR:HR)</f>
        <v>18153127</v>
      </c>
      <c r="HS2" s="21">
        <f>SUM(LISTE!HS:HS)</f>
        <v>11791912</v>
      </c>
      <c r="HT2" s="21">
        <f>SUM(LISTE!HT:HT)</f>
        <v>21913311</v>
      </c>
      <c r="HU2" s="21">
        <f>SUM(LISTE!HU:HU)</f>
        <v>-321746776</v>
      </c>
      <c r="HV2" s="21">
        <f>SUM(LISTE!HV:HV)</f>
        <v>-279223954</v>
      </c>
      <c r="HW2" s="21">
        <f>SUM(LISTE!HW:HW)</f>
        <v>6770721</v>
      </c>
      <c r="HX2" s="21">
        <f>SUM(LISTE!HX:HX)</f>
        <v>4547020</v>
      </c>
      <c r="HY2" s="21">
        <f>SUM(LISTE!HY:HY)</f>
        <v>54855895</v>
      </c>
      <c r="HZ2" s="21">
        <f>SUM(LISTE!HZ:HZ)</f>
        <v>62030248</v>
      </c>
      <c r="IA2" s="21">
        <f>SUM(LISTE!IA:IA)</f>
        <v>55387763</v>
      </c>
      <c r="IB2" s="21">
        <f>SUM(LISTE!IB:IB)</f>
        <v>56211686</v>
      </c>
      <c r="IC2" s="21">
        <f>SUM(LISTE!IC:IC)</f>
        <v>9041943</v>
      </c>
      <c r="ID2" s="21">
        <f>SUM(LISTE!ID:ID)</f>
        <v>7791885</v>
      </c>
      <c r="IE2" s="21">
        <f>SUM(LISTE!IE:IE)</f>
        <v>366196198</v>
      </c>
      <c r="IF2" s="21">
        <f>SUM(LISTE!IF:IF)</f>
        <v>345889419</v>
      </c>
      <c r="IG2" s="21">
        <f>SUM(LISTE!IG:IG)</f>
        <v>44214824</v>
      </c>
      <c r="IH2" s="21">
        <f>SUM(LISTE!IH:IH)</f>
        <v>44615241</v>
      </c>
      <c r="II2" s="21">
        <f>SUM(LISTE!II:II)</f>
        <v>160378</v>
      </c>
      <c r="IJ2" s="21">
        <f>SUM(LISTE!IJ:IJ)</f>
        <v>185941</v>
      </c>
      <c r="IK2" s="21">
        <f>SUM(LISTE!IK:IK)</f>
        <v>28463433</v>
      </c>
      <c r="IL2" s="21">
        <f>SUM(LISTE!IL:IL)</f>
        <v>27170711</v>
      </c>
      <c r="IM2" s="21">
        <f>SUM(LISTE!IM:IM)</f>
        <v>136129749</v>
      </c>
      <c r="IN2" s="21">
        <f>SUM(LISTE!IN:IN)</f>
        <v>119518481</v>
      </c>
      <c r="IO2" s="21">
        <f>SUM(LISTE!IO:IO)</f>
        <v>1060132</v>
      </c>
      <c r="IP2" s="21">
        <f>SUM(LISTE!IP:IP)</f>
        <v>1254906</v>
      </c>
      <c r="IQ2" s="21">
        <f>SUM(LISTE!IQ:IQ)</f>
        <v>13349872</v>
      </c>
      <c r="IR2" s="21">
        <f>SUM(LISTE!IR:IR)</f>
        <v>4798383</v>
      </c>
      <c r="IS2" s="21">
        <f>SUM(LISTE!IS:IS)</f>
        <v>3478396</v>
      </c>
      <c r="IT2" s="21">
        <f>SUM(LISTE!IT:IT)</f>
        <v>1955796</v>
      </c>
      <c r="IU2" s="21">
        <f>SUM(LISTE!IU:IU)</f>
        <v>3713689258</v>
      </c>
      <c r="IV2" s="21">
        <f>SUM(LISTE!IV:IV)</f>
        <v>2930314251</v>
      </c>
      <c r="IW2" s="21">
        <f>SUM(LISTE!IW:IW)</f>
        <v>4928728209</v>
      </c>
      <c r="IX2" s="21">
        <f>SUM(LISTE!IX:IX)</f>
        <v>4286463541</v>
      </c>
      <c r="IY2" s="21">
        <f>SUM(LISTE!IY:IY)</f>
        <v>-760541423</v>
      </c>
      <c r="IZ2" s="21">
        <f>SUM(LISTE!IZ:IZ)</f>
        <v>-715785364</v>
      </c>
      <c r="JA2" s="21">
        <f>SUM(LISTE!JA:JA)</f>
        <v>205455349</v>
      </c>
      <c r="JB2" s="21">
        <f>SUM(LISTE!JB:JB)</f>
        <v>192808479</v>
      </c>
      <c r="JC2" s="21">
        <f>SUM(LISTE!JC:JC)</f>
        <v>13198357</v>
      </c>
      <c r="JD2" s="21">
        <f>SUM(LISTE!JD:JD)</f>
        <v>8321937</v>
      </c>
      <c r="JE2" s="21">
        <f>SUM(LISTE!JE:JE)</f>
        <v>1474329379</v>
      </c>
      <c r="JF2" s="21">
        <f>SUM(LISTE!JF:JF)</f>
        <v>1344187798</v>
      </c>
      <c r="JG2" s="21">
        <f>SUM(LISTE!JG:JG)</f>
        <v>20339508</v>
      </c>
      <c r="JH2" s="21">
        <f>SUM(LISTE!JH:JH)</f>
        <v>15041118</v>
      </c>
      <c r="JI2" s="21">
        <f>SUM(LISTE!JI:JI)</f>
        <v>31043215004</v>
      </c>
      <c r="JJ2" s="21">
        <f>SUM(LISTE!JJ:JJ)</f>
        <v>30456330552</v>
      </c>
      <c r="JK2" s="21">
        <f>SUM(LISTE!JK:JK)</f>
        <v>578668339</v>
      </c>
      <c r="JL2" s="21">
        <f>SUM(LISTE!JL:JL)</f>
        <v>283409633</v>
      </c>
      <c r="JM2" s="21">
        <f>SUM(LISTE!JM:JM)</f>
        <v>45775995627</v>
      </c>
      <c r="JN2" s="21">
        <f>SUM(LISTE!JN:JN)</f>
        <v>43868807516</v>
      </c>
      <c r="JO2" s="21">
        <f>SUM(LISTE!JO:JO)</f>
        <v>194670424</v>
      </c>
      <c r="JP2" s="21">
        <f>SUM(LISTE!JP:JP)</f>
        <v>251260033</v>
      </c>
      <c r="JQ2" s="21">
        <f>SUM(LISTE!JQ:JQ)</f>
        <v>614192766</v>
      </c>
      <c r="JR2" s="21">
        <f>SUM(LISTE!JR:JR)</f>
        <v>634096689</v>
      </c>
      <c r="JS2" s="21">
        <f>SUM(LISTE!JS:JS)</f>
        <v>174678468</v>
      </c>
      <c r="JT2" s="21">
        <f>SUM(LISTE!JT:JT)</f>
        <v>229831680</v>
      </c>
      <c r="JU2" s="21">
        <f>SUM(LISTE!JU:JU)</f>
        <v>157546219</v>
      </c>
      <c r="JV2" s="21">
        <f>SUM(LISTE!JV:JV)</f>
        <v>1845044514</v>
      </c>
      <c r="JW2" s="21">
        <f>SUM(LISTE!JW:JW)</f>
        <v>65198539747</v>
      </c>
      <c r="JX2" s="21">
        <f>SUM(LISTE!JX:JX)</f>
        <v>63405833259</v>
      </c>
      <c r="JY2" s="21">
        <f>SUM(LISTE!JY:JY)</f>
        <v>27048054</v>
      </c>
      <c r="JZ2" s="21">
        <f>SUM(LISTE!JZ:JZ)</f>
        <v>467717888</v>
      </c>
      <c r="KA2" s="21">
        <f>SUM(LISTE!KA:KA)</f>
        <v>1074248150</v>
      </c>
      <c r="KB2" s="21">
        <f>SUM(LISTE!KB:KB)</f>
        <v>1017504133</v>
      </c>
      <c r="KC2" s="21">
        <f>SUM(LISTE!KC:KC)</f>
        <v>12515616</v>
      </c>
      <c r="KD2" s="21">
        <f>SUM(LISTE!KD:KD)</f>
        <v>225121121</v>
      </c>
      <c r="KE2" s="21">
        <f>SUM(LISTE!KE:KE)</f>
        <v>757462866</v>
      </c>
      <c r="KF2" s="21">
        <f>SUM(LISTE!KF:KF)</f>
        <v>587449674</v>
      </c>
      <c r="KG2" s="21">
        <f>SUM(LISTE!KG:KG)</f>
        <v>132837171</v>
      </c>
      <c r="KH2" s="21">
        <f>SUM(LISTE!KH:KH)</f>
        <v>1447502294</v>
      </c>
      <c r="KI2" s="21">
        <f>SUM(LISTE!KI:KI)</f>
        <v>9798355980</v>
      </c>
      <c r="KJ2" s="21">
        <f>SUM(LISTE!KJ:KJ)</f>
        <v>9754116970</v>
      </c>
      <c r="KK2" s="21">
        <f>SUM(LISTE!KK:KK)</f>
        <v>10693952</v>
      </c>
      <c r="KL2" s="21">
        <f>SUM(LISTE!KL:KL)</f>
        <v>10940830</v>
      </c>
      <c r="KM2" s="21">
        <f>SUM(LISTE!KM:KM)</f>
        <v>310000</v>
      </c>
      <c r="KN2" s="21">
        <f>SUM(LISTE!KN:KN)</f>
        <v>310000</v>
      </c>
      <c r="KO2" s="21">
        <f>SUM(LISTE!KO:KO)</f>
        <v>0</v>
      </c>
      <c r="KP2" s="21">
        <f>SUM(LISTE!KP:KP)</f>
        <v>0</v>
      </c>
      <c r="KQ2" s="21">
        <f>SUM(LISTE!KQ:KQ)</f>
        <v>1744751884</v>
      </c>
      <c r="KR2" s="21">
        <f>SUM(LISTE!KR:KR)</f>
        <v>1762374754</v>
      </c>
      <c r="KS2" s="21">
        <f>SUM(LISTE!KS:KS)</f>
        <v>38303902</v>
      </c>
      <c r="KT2" s="21">
        <f>SUM(LISTE!KT:KT)</f>
        <v>3310386</v>
      </c>
      <c r="KU2" s="21">
        <f>SUM(LISTE!KU:KU)</f>
        <v>1430344332</v>
      </c>
      <c r="KV2" s="21">
        <f>SUM(LISTE!KV:KV)</f>
        <v>1165475367</v>
      </c>
      <c r="KW2" s="21">
        <f>SUM(LISTE!KW:KW)</f>
        <v>37887</v>
      </c>
      <c r="KX2" s="21">
        <f>SUM(LISTE!KX:KX)</f>
        <v>6431</v>
      </c>
      <c r="KY2" s="21">
        <f>SUM(LISTE!KY:KY)</f>
        <v>142904854</v>
      </c>
      <c r="KZ2" s="21">
        <f>SUM(LISTE!KZ:KZ)</f>
        <v>134511524</v>
      </c>
      <c r="LA2" s="21">
        <f>SUM(LISTE!LA:LA)</f>
        <v>4382000543</v>
      </c>
      <c r="LB2" s="21">
        <f>SUM(LISTE!LB:LB)</f>
        <v>4105131104</v>
      </c>
      <c r="LC2" s="21">
        <f>SUM(LISTE!LC:LC)</f>
        <v>31228873</v>
      </c>
      <c r="LD2" s="21">
        <f>SUM(LISTE!LD:LD)</f>
        <v>20587470</v>
      </c>
      <c r="LE2" s="21">
        <f>SUM(LISTE!LE:LE)</f>
        <v>10017324</v>
      </c>
      <c r="LF2" s="21">
        <f>SUM(LISTE!LF:LF)</f>
        <v>10329874</v>
      </c>
      <c r="LG2" s="21">
        <f>SUM(LISTE!LG:LG)</f>
        <v>23638296</v>
      </c>
      <c r="LH2" s="21">
        <f>SUM(LISTE!LH:LH)</f>
        <v>24840863</v>
      </c>
      <c r="LI2" s="21">
        <f>SUM(LISTE!LI:LI)</f>
        <v>1070055472</v>
      </c>
      <c r="LJ2" s="21">
        <f>SUM(LISTE!LJ:LJ)</f>
        <v>1011976884</v>
      </c>
      <c r="LK2" s="21">
        <f>SUM(LISTE!LK:LK)</f>
        <v>7688662156</v>
      </c>
      <c r="LL2" s="21">
        <f>SUM(LISTE!LL:LL)</f>
        <v>7645883279</v>
      </c>
      <c r="LM2" s="21">
        <f>SUM(LISTE!LM:LM)</f>
        <v>85652115</v>
      </c>
      <c r="LN2" s="21">
        <f>SUM(LISTE!LN:LN)</f>
        <v>73496015</v>
      </c>
      <c r="LO2" s="21">
        <f>SUM(LISTE!LO:LO)</f>
        <v>570174</v>
      </c>
      <c r="LP2" s="21">
        <f>SUM(LISTE!LP:LP)</f>
        <v>579312</v>
      </c>
      <c r="LQ2" s="21">
        <f>SUM(LISTE!LQ:LQ)</f>
        <v>0</v>
      </c>
      <c r="LR2" s="21">
        <f>SUM(LISTE!LR:LR)</f>
        <v>0</v>
      </c>
      <c r="LS2" s="21">
        <f>SUM(LISTE!LS:LS)</f>
        <v>12808801</v>
      </c>
      <c r="LT2" s="21">
        <f>SUM(LISTE!LT:LT)</f>
        <v>0</v>
      </c>
      <c r="LU2" s="21">
        <f>SUM(LISTE!LU:LU)</f>
        <v>-15769221</v>
      </c>
      <c r="LV2" s="21">
        <f>SUM(LISTE!LV:LV)</f>
        <v>-20681244</v>
      </c>
      <c r="LW2" s="21">
        <f>SUM(LISTE!LW:LW)</f>
        <v>20654143</v>
      </c>
      <c r="LX2" s="21">
        <f>SUM(LISTE!LX:LX)</f>
        <v>15755158</v>
      </c>
      <c r="LY2" s="21">
        <f>SUM(LISTE!LY:LY)</f>
        <v>44395864</v>
      </c>
      <c r="LZ2" s="21">
        <f>SUM(LISTE!LZ:LZ)</f>
        <v>23982219</v>
      </c>
      <c r="MA2" s="21">
        <f>SUM(LISTE!MA:MA)</f>
        <v>3192695972</v>
      </c>
      <c r="MB2" s="21">
        <f>SUM(LISTE!MB:MB)</f>
        <v>3160165693</v>
      </c>
      <c r="MC2" s="21">
        <f>SUM(LISTE!MC:MC)</f>
        <v>6697972935</v>
      </c>
      <c r="MD2" s="21">
        <f>SUM(LISTE!MD:MD)</f>
        <v>5565753502</v>
      </c>
      <c r="ME2" s="21">
        <f>SUM(LISTE!ME:ME)</f>
        <v>78342633</v>
      </c>
      <c r="MF2" s="21">
        <f>SUM(LISTE!MF:MF)</f>
        <v>81280898</v>
      </c>
      <c r="MG2" s="21">
        <f>SUM(LISTE!MG:MG)</f>
        <v>4436234069</v>
      </c>
      <c r="MH2" s="21">
        <f>SUM(LISTE!MH:MH)</f>
        <v>4372850447</v>
      </c>
      <c r="MI2" s="21">
        <f>SUM(LISTE!MI:MI)</f>
        <v>5965942661</v>
      </c>
      <c r="MJ2" s="21">
        <f>SUM(LISTE!MJ:MJ)</f>
        <v>5652121732</v>
      </c>
      <c r="MK2" s="21">
        <f>SUM(LISTE!MK:MK)</f>
        <v>0</v>
      </c>
      <c r="ML2" s="21">
        <f>SUM(LISTE!ML:ML)</f>
        <v>0</v>
      </c>
      <c r="MM2" s="21">
        <f>SUM(LISTE!MM:MM)</f>
        <v>437796054</v>
      </c>
      <c r="MN2" s="21">
        <f>SUM(LISTE!MN:MN)</f>
        <v>415644875</v>
      </c>
      <c r="MO2" s="21">
        <f>SUM(LISTE!MO:MO)</f>
        <v>107729742</v>
      </c>
      <c r="MP2" s="21">
        <f>SUM(LISTE!MP:MP)</f>
        <v>100036387</v>
      </c>
      <c r="MQ2" s="21">
        <f>SUM(LISTE!MQ:MQ)</f>
        <v>77350622</v>
      </c>
      <c r="MR2" s="21">
        <f>SUM(LISTE!MR:MR)</f>
        <v>74472342</v>
      </c>
      <c r="MS2" s="21">
        <f>SUM(LISTE!MS:MS)</f>
        <v>52418</v>
      </c>
      <c r="MT2" s="21">
        <f>SUM(LISTE!MT:MT)</f>
        <v>65772</v>
      </c>
      <c r="MU2" s="21">
        <f>SUM(LISTE!MU:MU)</f>
        <v>-45043744</v>
      </c>
      <c r="MV2" s="21">
        <f>SUM(LISTE!MV:MV)</f>
        <v>-18523550</v>
      </c>
      <c r="MW2" s="21">
        <f>SUM(LISTE!MW:MW)</f>
        <v>1814787855</v>
      </c>
      <c r="MX2" s="21">
        <f>SUM(LISTE!MX:MX)</f>
        <v>1714022305</v>
      </c>
      <c r="MY2" s="21">
        <f>SUM(LISTE!MY:MY)</f>
        <v>158505637</v>
      </c>
      <c r="MZ2" s="21">
        <f>SUM(LISTE!MZ:MZ)</f>
        <v>122569802</v>
      </c>
      <c r="NA2" s="21">
        <f>SUM(LISTE!NA:NA)</f>
        <v>74490901</v>
      </c>
      <c r="NB2" s="21">
        <f>SUM(LISTE!NB:NB)</f>
        <v>73512096</v>
      </c>
      <c r="NC2" s="21">
        <f>SUM(LISTE!NC:NC)</f>
        <v>2947396897</v>
      </c>
      <c r="ND2" s="21">
        <f>SUM(LISTE!ND:ND)</f>
        <v>2968648293</v>
      </c>
      <c r="NE2" s="21">
        <f>SUM(LISTE!NE:NE)</f>
        <v>3895282</v>
      </c>
      <c r="NF2" s="21">
        <f>SUM(LISTE!NF:NF)</f>
        <v>3985655</v>
      </c>
      <c r="NG2" s="21">
        <f>SUM(LISTE!NG:NG)</f>
        <v>33826742737</v>
      </c>
      <c r="NH2" s="21">
        <f>SUM(LISTE!NH:NH)</f>
        <v>31965241233</v>
      </c>
      <c r="NI2" s="21">
        <f>SUM(LISTE!NI:NI)</f>
        <v>406643641</v>
      </c>
      <c r="NJ2" s="21">
        <f>SUM(LISTE!NJ:NJ)</f>
        <v>401579978</v>
      </c>
      <c r="NK2" s="21">
        <f>SUM(LISTE!NK:NK)</f>
        <v>1022585449</v>
      </c>
      <c r="NL2" s="21">
        <f>SUM(LISTE!NL:NL)</f>
        <v>998689462</v>
      </c>
      <c r="NM2" s="21">
        <f>SUM(LISTE!NM:NM)</f>
        <v>39960501537</v>
      </c>
      <c r="NN2" s="21">
        <f>SUM(LISTE!NN:NN)</f>
        <v>36695225120</v>
      </c>
      <c r="NO2" s="21">
        <f>SUM(LISTE!NO:NO)</f>
        <v>142635194340</v>
      </c>
      <c r="NP2" s="21">
        <f>SUM(LISTE!NP:NP)</f>
        <v>135429557791</v>
      </c>
    </row>
    <row r="3" spans="1:401" x14ac:dyDescent="0.2">
      <c r="A3" s="189" t="s">
        <v>3471</v>
      </c>
      <c r="B3" s="189" t="s">
        <v>3471</v>
      </c>
      <c r="C3">
        <f>AVERAGE(LISTE!C:C)</f>
        <v>230494</v>
      </c>
      <c r="D3" s="21" t="e">
        <f>AVERAGE(LISTE!D:D)</f>
        <v>#DIV/0!</v>
      </c>
      <c r="E3" s="21">
        <f>AVERAGE(LISTE!E:E)</f>
        <v>720313.38</v>
      </c>
      <c r="F3" s="21">
        <f>AVERAGE(LISTE!F:F)</f>
        <v>6423387.8959107809</v>
      </c>
      <c r="G3" s="21">
        <f>AVERAGE(LISTE!G:G)</f>
        <v>6251067.0617760615</v>
      </c>
      <c r="H3" s="21">
        <f>AVERAGE(LISTE!H:H)</f>
        <v>4756656.397350993</v>
      </c>
      <c r="I3" s="21">
        <f>AVERAGE(LISTE!I:I)</f>
        <v>4544673.6782608693</v>
      </c>
      <c r="J3" s="21">
        <f>AVERAGE(LISTE!J:J)</f>
        <v>4285638.0281690145</v>
      </c>
      <c r="K3" s="21">
        <f>AVERAGE(LISTE!K:K)</f>
        <v>4412148.686131387</v>
      </c>
      <c r="L3" s="21">
        <f>AVERAGE(LISTE!L:L)</f>
        <v>7415078.1293103453</v>
      </c>
      <c r="M3" s="21">
        <f>AVERAGE(LISTE!M:M)</f>
        <v>61706.117647058825</v>
      </c>
      <c r="N3" s="21">
        <f>AVERAGE(LISTE!N:N)</f>
        <v>1418849.0852713177</v>
      </c>
      <c r="O3" s="21">
        <f>AVERAGE(LISTE!O:O)</f>
        <v>1287904.5289256198</v>
      </c>
      <c r="P3" s="21">
        <f>AVERAGE(LISTE!P:P)</f>
        <v>1067159.4095238096</v>
      </c>
      <c r="Q3" s="21">
        <f>AVERAGE(LISTE!Q:Q)</f>
        <v>2581963.2258064514</v>
      </c>
      <c r="R3" s="21">
        <f>AVERAGE(LISTE!R:R)</f>
        <v>18189261.609375</v>
      </c>
      <c r="S3" s="21">
        <f>AVERAGE(LISTE!S:S)</f>
        <v>17841047.070175439</v>
      </c>
      <c r="T3" s="21">
        <f>AVERAGE(LISTE!T:T)</f>
        <v>4537738.7674418604</v>
      </c>
      <c r="U3" s="21">
        <f>AVERAGE(LISTE!U:U)</f>
        <v>493438.77777777775</v>
      </c>
      <c r="V3" s="21">
        <f>AVERAGE(LISTE!V:V)</f>
        <v>1635643.076923077</v>
      </c>
      <c r="W3" s="21">
        <f>AVERAGE(LISTE!W:W)</f>
        <v>1378458.04</v>
      </c>
      <c r="X3" s="21">
        <f>AVERAGE(LISTE!X:X)</f>
        <v>1877906.96</v>
      </c>
      <c r="Y3" s="21">
        <f>AVERAGE(LISTE!Y:Y)</f>
        <v>496039.09090909088</v>
      </c>
      <c r="Z3" s="21">
        <f>AVERAGE(LISTE!Z:Z)</f>
        <v>886564.50632911397</v>
      </c>
      <c r="AA3" s="21">
        <f>AVERAGE(LISTE!AA:AA)</f>
        <v>836806.95</v>
      </c>
      <c r="AB3" s="21">
        <f>AVERAGE(LISTE!AB:AB)</f>
        <v>1037136.0746268657</v>
      </c>
      <c r="AC3" s="21" t="e">
        <f>AVERAGE(LISTE!AC:AC)</f>
        <v>#DIV/0!</v>
      </c>
      <c r="AD3" s="21">
        <f>AVERAGE(LISTE!AD:AD)</f>
        <v>820038.45454545459</v>
      </c>
      <c r="AE3" s="21">
        <f>AVERAGE(LISTE!AE:AE)</f>
        <v>406229.26315789472</v>
      </c>
      <c r="AF3" s="21">
        <f>AVERAGE(LISTE!AF:AF)</f>
        <v>718745.83333333337</v>
      </c>
      <c r="AG3" s="21" t="e">
        <f>AVERAGE(LISTE!AG:AG)</f>
        <v>#DIV/0!</v>
      </c>
      <c r="AH3" s="21">
        <f>AVERAGE(LISTE!AH:AH)</f>
        <v>901</v>
      </c>
      <c r="AI3" s="21">
        <f>AVERAGE(LISTE!AI:AI)</f>
        <v>110472</v>
      </c>
      <c r="AJ3" s="21">
        <f>AVERAGE(LISTE!AJ:AJ)</f>
        <v>901</v>
      </c>
      <c r="AK3" s="21">
        <f>AVERAGE(LISTE!AK:AK)</f>
        <v>5647</v>
      </c>
      <c r="AL3" s="21">
        <f>AVERAGE(LISTE!AL:AL)</f>
        <v>1450283.8169014084</v>
      </c>
      <c r="AM3" s="21">
        <f>AVERAGE(LISTE!AM:AM)</f>
        <v>1325020.6461538461</v>
      </c>
      <c r="AN3" s="21">
        <f>AVERAGE(LISTE!AN:AN)</f>
        <v>185125.22033898305</v>
      </c>
      <c r="AO3" s="21" t="e">
        <f>AVERAGE(LISTE!AO:AO)</f>
        <v>#DIV/0!</v>
      </c>
      <c r="AP3" s="21">
        <f>AVERAGE(LISTE!AP:AP)</f>
        <v>24536.333333333332</v>
      </c>
      <c r="AQ3" s="21">
        <f>AVERAGE(LISTE!AQ:AQ)</f>
        <v>7424.333333333333</v>
      </c>
      <c r="AR3" s="21">
        <f>AVERAGE(LISTE!AR:AR)</f>
        <v>24536.333333333332</v>
      </c>
      <c r="AS3" s="21">
        <f>AVERAGE(LISTE!AS:AS)</f>
        <v>70654.111111111109</v>
      </c>
      <c r="AT3" s="21">
        <f>AVERAGE(LISTE!AT:AT)</f>
        <v>41999.555555555555</v>
      </c>
      <c r="AU3" s="21">
        <f>AVERAGE(LISTE!AU:AU)</f>
        <v>82481.166666666672</v>
      </c>
      <c r="AV3" s="21">
        <f>AVERAGE(LISTE!AV:AV)</f>
        <v>10506558.5</v>
      </c>
      <c r="AW3" s="21">
        <f>AVERAGE(LISTE!AW:AW)</f>
        <v>9263936.7142857146</v>
      </c>
      <c r="AX3" s="21">
        <f>AVERAGE(LISTE!AX:AX)</f>
        <v>20113884.5</v>
      </c>
      <c r="AY3" s="21" t="e">
        <f>AVERAGE(LISTE!AY:AY)</f>
        <v>#DIV/0!</v>
      </c>
      <c r="AZ3" s="21">
        <f>AVERAGE(LISTE!AZ:AZ)</f>
        <v>908719.29166666663</v>
      </c>
      <c r="BA3" s="21">
        <f>AVERAGE(LISTE!BA:BA)</f>
        <v>908261.33093525178</v>
      </c>
      <c r="BB3" s="21">
        <f>AVERAGE(LISTE!BB:BB)</f>
        <v>585711.01709401712</v>
      </c>
      <c r="BC3" s="21">
        <f>AVERAGE(LISTE!BC:BC)</f>
        <v>485149.27205882355</v>
      </c>
      <c r="BD3" s="21">
        <f>AVERAGE(LISTE!BD:BD)</f>
        <v>24350700.799319729</v>
      </c>
      <c r="BE3" s="21">
        <f>AVERAGE(LISTE!BE:BE)</f>
        <v>25094909.802120142</v>
      </c>
      <c r="BF3" s="21">
        <f>AVERAGE(LISTE!BF:BF)</f>
        <v>11917800.981249999</v>
      </c>
      <c r="BG3" s="21">
        <f>AVERAGE(LISTE!BG:BG)</f>
        <v>505709.14563106798</v>
      </c>
      <c r="BH3" s="21">
        <f>AVERAGE(LISTE!BH:BH)</f>
        <v>200653.90434782609</v>
      </c>
      <c r="BI3" s="21">
        <f>AVERAGE(LISTE!BI:BI)</f>
        <v>139814.22807017545</v>
      </c>
      <c r="BJ3" s="21">
        <f>AVERAGE(LISTE!BJ:BJ)</f>
        <v>664978.8113207547</v>
      </c>
      <c r="BK3" s="21">
        <f>AVERAGE(LISTE!BK:BK)</f>
        <v>11523248.971962618</v>
      </c>
      <c r="BL3" s="21">
        <f>AVERAGE(LISTE!BL:BL)</f>
        <v>9766524.1138211377</v>
      </c>
      <c r="BM3" s="21">
        <f>AVERAGE(LISTE!BM:BM)</f>
        <v>9587704.3553718999</v>
      </c>
      <c r="BN3" s="21">
        <f>AVERAGE(LISTE!BN:BN)</f>
        <v>20822747.759259257</v>
      </c>
      <c r="BO3" s="21">
        <f>AVERAGE(LISTE!BO:BO)</f>
        <v>184772.5</v>
      </c>
      <c r="BP3" s="21">
        <f>AVERAGE(LISTE!BP:BP)</f>
        <v>614798.19565217395</v>
      </c>
      <c r="BQ3" s="21">
        <f>AVERAGE(LISTE!BQ:BQ)</f>
        <v>493738.74468085106</v>
      </c>
      <c r="BR3" s="21">
        <f>AVERAGE(LISTE!BR:BR)</f>
        <v>629481.97222222225</v>
      </c>
      <c r="BS3" s="21" t="e">
        <f>AVERAGE(LISTE!BS:BS)</f>
        <v>#DIV/0!</v>
      </c>
      <c r="BT3" s="21" t="e">
        <f>AVERAGE(LISTE!BT:BT)</f>
        <v>#DIV/0!</v>
      </c>
      <c r="BU3" s="21" t="e">
        <f>AVERAGE(LISTE!BU:BU)</f>
        <v>#DIV/0!</v>
      </c>
      <c r="BV3" s="21" t="e">
        <f>AVERAGE(LISTE!BV:BV)</f>
        <v>#DIV/0!</v>
      </c>
      <c r="BW3" s="21" t="e">
        <f>AVERAGE(LISTE!BW:BW)</f>
        <v>#DIV/0!</v>
      </c>
      <c r="BX3" s="21">
        <f>AVERAGE(LISTE!BX:BX)</f>
        <v>6308024.5905511808</v>
      </c>
      <c r="BY3" s="21">
        <f>AVERAGE(LISTE!BY:BY)</f>
        <v>5706135.2962962966</v>
      </c>
      <c r="BZ3" s="21">
        <f>AVERAGE(LISTE!BZ:BZ)</f>
        <v>4587497.5364238415</v>
      </c>
      <c r="CA3" s="21">
        <f>AVERAGE(LISTE!CA:CA)</f>
        <v>1467.3</v>
      </c>
      <c r="CB3" s="21">
        <f>AVERAGE(LISTE!CB:CB)</f>
        <v>2935.9</v>
      </c>
      <c r="CC3" s="21">
        <f>AVERAGE(LISTE!CC:CC)</f>
        <v>1970</v>
      </c>
      <c r="CD3" s="21">
        <f>AVERAGE(LISTE!CD:CD)</f>
        <v>3615578.8125</v>
      </c>
      <c r="CE3" s="21">
        <f>AVERAGE(LISTE!CE:CE)</f>
        <v>36963597.172774866</v>
      </c>
      <c r="CF3" s="21">
        <f>AVERAGE(LISTE!CF:CF)</f>
        <v>33998761.843575418</v>
      </c>
      <c r="CG3" s="21">
        <f>AVERAGE(LISTE!CG:CG)</f>
        <v>11043256.504424779</v>
      </c>
      <c r="CH3" s="21">
        <f>AVERAGE(LISTE!CH:CH)</f>
        <v>78024.399999999994</v>
      </c>
      <c r="CI3" s="21">
        <f>AVERAGE(LISTE!CI:CI)</f>
        <v>3020032.2857142859</v>
      </c>
      <c r="CJ3" s="21">
        <f>AVERAGE(LISTE!CJ:CJ)</f>
        <v>3702727.0526315789</v>
      </c>
      <c r="CK3" s="21">
        <f>AVERAGE(LISTE!CK:CK)</f>
        <v>3023205.4</v>
      </c>
      <c r="CL3" s="21" t="e">
        <f>AVERAGE(LISTE!CL:CL)</f>
        <v>#DIV/0!</v>
      </c>
      <c r="CM3" s="21">
        <f>AVERAGE(LISTE!CM:CM)</f>
        <v>156106.16666666666</v>
      </c>
      <c r="CN3" s="21">
        <f>AVERAGE(LISTE!CN:CN)</f>
        <v>226249.83333333334</v>
      </c>
      <c r="CO3" s="21">
        <f>AVERAGE(LISTE!CO:CO)</f>
        <v>230444.25</v>
      </c>
      <c r="CP3" s="21">
        <f>AVERAGE(LISTE!CP:CP)</f>
        <v>916962.87878787878</v>
      </c>
      <c r="CQ3" s="21">
        <f>AVERAGE(LISTE!CQ:CQ)</f>
        <v>2202583.1126760566</v>
      </c>
      <c r="CR3" s="21">
        <f>AVERAGE(LISTE!CR:CR)</f>
        <v>3787919</v>
      </c>
      <c r="CS3" s="21">
        <f>AVERAGE(LISTE!CS:CS)</f>
        <v>2364542.4057971016</v>
      </c>
      <c r="CT3" s="21">
        <f>AVERAGE(LISTE!CT:CT)</f>
        <v>144485.125</v>
      </c>
      <c r="CU3" s="21">
        <f>AVERAGE(LISTE!CU:CU)</f>
        <v>204885.88888888888</v>
      </c>
      <c r="CV3" s="21">
        <f>AVERAGE(LISTE!CV:CV)</f>
        <v>143707.11111111112</v>
      </c>
      <c r="CW3" s="21">
        <f>AVERAGE(LISTE!CW:CW)</f>
        <v>249670.88888888888</v>
      </c>
      <c r="CX3" s="21">
        <f>AVERAGE(LISTE!CX:CX)</f>
        <v>32722.333333333332</v>
      </c>
      <c r="CY3" s="21">
        <f>AVERAGE(LISTE!CY:CY)</f>
        <v>8677568.333333334</v>
      </c>
      <c r="CZ3" s="21">
        <f>AVERAGE(LISTE!CZ:CZ)</f>
        <v>5680476.166666667</v>
      </c>
      <c r="DA3" s="21">
        <f>AVERAGE(LISTE!DA:DA)</f>
        <v>58344.800000000003</v>
      </c>
      <c r="DB3" s="21">
        <f>AVERAGE(LISTE!DB:DB)</f>
        <v>32317</v>
      </c>
      <c r="DC3" s="21">
        <f>AVERAGE(LISTE!DC:DC)</f>
        <v>1426622.513888889</v>
      </c>
      <c r="DD3" s="21">
        <f>AVERAGE(LISTE!DD:DD)</f>
        <v>1476951.5211267606</v>
      </c>
      <c r="DE3" s="21">
        <f>AVERAGE(LISTE!DE:DE)</f>
        <v>1084520.703125</v>
      </c>
      <c r="DF3" s="21">
        <f>AVERAGE(LISTE!DF:DF)</f>
        <v>6636194.2072072076</v>
      </c>
      <c r="DG3" s="21">
        <f>AVERAGE(LISTE!DG:DG)</f>
        <v>3961659.1705426355</v>
      </c>
      <c r="DH3" s="21">
        <f>AVERAGE(LISTE!DH:DH)</f>
        <v>3433249.8449612404</v>
      </c>
      <c r="DI3" s="21">
        <f>AVERAGE(LISTE!DI:DI)</f>
        <v>8696686.4464285709</v>
      </c>
      <c r="DJ3" s="21">
        <f>AVERAGE(LISTE!DJ:DJ)</f>
        <v>536095.96666666667</v>
      </c>
      <c r="DK3" s="21">
        <f>AVERAGE(LISTE!DK:DK)</f>
        <v>9141219.0824742261</v>
      </c>
      <c r="DL3" s="21">
        <f>AVERAGE(LISTE!DL:DL)</f>
        <v>9425167.2947368417</v>
      </c>
      <c r="DM3" s="21">
        <f>AVERAGE(LISTE!DM:DM)</f>
        <v>9642303.1136363633</v>
      </c>
      <c r="DN3" s="21">
        <f>AVERAGE(LISTE!DN:DN)</f>
        <v>99197.416666666672</v>
      </c>
      <c r="DO3" s="21">
        <f>AVERAGE(LISTE!DO:DO)</f>
        <v>2323589.3974358975</v>
      </c>
      <c r="DP3" s="21">
        <f>AVERAGE(LISTE!DP:DP)</f>
        <v>2141647.5064935065</v>
      </c>
      <c r="DQ3" s="21">
        <f>AVERAGE(LISTE!DQ:DQ)</f>
        <v>1548860.4923076923</v>
      </c>
      <c r="DR3" s="21">
        <f>AVERAGE(LISTE!DR:DR)</f>
        <v>730588.5</v>
      </c>
      <c r="DS3" s="21">
        <f>AVERAGE(LISTE!DS:DS)</f>
        <v>2354543.3157894737</v>
      </c>
      <c r="DT3" s="21">
        <f>AVERAGE(LISTE!DT:DT)</f>
        <v>2725933.28125</v>
      </c>
      <c r="DU3" s="21">
        <f>AVERAGE(LISTE!DU:DU)</f>
        <v>1878918.7777777778</v>
      </c>
      <c r="DV3" s="21">
        <f>AVERAGE(LISTE!DV:DV)</f>
        <v>430401.125</v>
      </c>
      <c r="DW3" s="21">
        <f>AVERAGE(LISTE!DW:DW)</f>
        <v>260947.33846153846</v>
      </c>
      <c r="DX3" s="21">
        <f>AVERAGE(LISTE!DX:DX)</f>
        <v>278881.66666666669</v>
      </c>
      <c r="DY3" s="21">
        <f>AVERAGE(LISTE!DY:DY)</f>
        <v>325771.62903225806</v>
      </c>
      <c r="DZ3" s="21">
        <f>AVERAGE(LISTE!DZ:DZ)</f>
        <v>164781</v>
      </c>
      <c r="EA3" s="21">
        <f>AVERAGE(LISTE!EA:EA)</f>
        <v>471024</v>
      </c>
      <c r="EB3" s="21">
        <f>AVERAGE(LISTE!EB:EB)</f>
        <v>164781</v>
      </c>
      <c r="EC3" s="21">
        <f>AVERAGE(LISTE!EC:EC)</f>
        <v>804149.66666666663</v>
      </c>
      <c r="ED3" s="21">
        <f>AVERAGE(LISTE!ED:ED)</f>
        <v>3243764</v>
      </c>
      <c r="EE3" s="21">
        <f>AVERAGE(LISTE!EE:EE)</f>
        <v>3747809.0476190476</v>
      </c>
      <c r="EF3" s="21">
        <f>AVERAGE(LISTE!EF:EF)</f>
        <v>2783554.0625</v>
      </c>
      <c r="EG3" s="21">
        <f>AVERAGE(LISTE!EG:EG)</f>
        <v>20685974.5</v>
      </c>
      <c r="EH3" s="21">
        <f>AVERAGE(LISTE!EH:EH)</f>
        <v>352863911.86956519</v>
      </c>
      <c r="EI3" s="21">
        <f>AVERAGE(LISTE!EI:EI)</f>
        <v>333470670.47826087</v>
      </c>
      <c r="EJ3" s="21">
        <f>AVERAGE(LISTE!EJ:EJ)</f>
        <v>58659695.142857142</v>
      </c>
      <c r="EK3" s="21">
        <f>AVERAGE(LISTE!EK:EK)</f>
        <v>39964434.305194803</v>
      </c>
      <c r="EL3" s="21">
        <f>AVERAGE(LISTE!EL:EL)</f>
        <v>174614852.03076923</v>
      </c>
      <c r="EM3" s="21">
        <f>AVERAGE(LISTE!EM:EM)</f>
        <v>170386174.80830672</v>
      </c>
      <c r="EN3" s="21">
        <f>AVERAGE(LISTE!EN:EN)</f>
        <v>73931354.849397585</v>
      </c>
      <c r="EO3" s="21">
        <f>AVERAGE(LISTE!EO:EO)</f>
        <v>1688034.3918918918</v>
      </c>
      <c r="EP3" s="21">
        <f>AVERAGE(LISTE!EP:EP)</f>
        <v>219527529.83333334</v>
      </c>
      <c r="EQ3" s="21">
        <f>AVERAGE(LISTE!EQ:EQ)</f>
        <v>245655008.67092651</v>
      </c>
      <c r="ER3" s="21">
        <f>AVERAGE(LISTE!ER:ER)</f>
        <v>46423827.896341465</v>
      </c>
      <c r="ES3" s="21">
        <f>AVERAGE(LISTE!ES:ES)</f>
        <v>41974575.383116886</v>
      </c>
      <c r="ET3" s="21">
        <f>AVERAGE(LISTE!ET:ET)</f>
        <v>413281349.76452601</v>
      </c>
      <c r="EU3" s="21">
        <f>AVERAGE(LISTE!EU:EU)</f>
        <v>432954949.77602524</v>
      </c>
      <c r="EV3" s="21">
        <f>AVERAGE(LISTE!EV:EV)</f>
        <v>123720403.94478528</v>
      </c>
      <c r="EW3" s="21">
        <f>AVERAGE(LISTE!EW:EW)</f>
        <v>838181.47761194035</v>
      </c>
      <c r="EX3" s="21">
        <f>AVERAGE(LISTE!EX:EX)</f>
        <v>2580859.0833333335</v>
      </c>
      <c r="EY3" s="21">
        <f>AVERAGE(LISTE!EY:EY)</f>
        <v>2492756.4249999998</v>
      </c>
      <c r="EZ3" s="21">
        <f>AVERAGE(LISTE!EZ:EZ)</f>
        <v>3262399.5784313725</v>
      </c>
      <c r="FA3" s="21">
        <f>AVERAGE(LISTE!FA:FA)</f>
        <v>33909185</v>
      </c>
      <c r="FB3" s="21">
        <f>AVERAGE(LISTE!FB:FB)</f>
        <v>3112311.9629629632</v>
      </c>
      <c r="FC3" s="21">
        <f>AVERAGE(LISTE!FC:FC)</f>
        <v>3437583.2916666665</v>
      </c>
      <c r="FD3" s="21">
        <f>AVERAGE(LISTE!FD:FD)</f>
        <v>5223529.5909090908</v>
      </c>
      <c r="FE3" s="21">
        <f>AVERAGE(LISTE!FE:FE)</f>
        <v>198502.44444444444</v>
      </c>
      <c r="FF3" s="21">
        <f>AVERAGE(LISTE!FF:FF)</f>
        <v>5570676.5170068024</v>
      </c>
      <c r="FG3" s="21">
        <f>AVERAGE(LISTE!FG:FG)</f>
        <v>5062035.6038961038</v>
      </c>
      <c r="FH3" s="21">
        <f>AVERAGE(LISTE!FH:FH)</f>
        <v>6496099.8095238097</v>
      </c>
      <c r="FI3" s="21">
        <f>AVERAGE(LISTE!FI:FI)</f>
        <v>-183804.08860759492</v>
      </c>
      <c r="FJ3" s="21">
        <f>AVERAGE(LISTE!FJ:FJ)</f>
        <v>-152736.97816593887</v>
      </c>
      <c r="FK3" s="21">
        <f>AVERAGE(LISTE!FK:FK)</f>
        <v>7983516.833333333</v>
      </c>
      <c r="FL3" s="21">
        <f>AVERAGE(LISTE!FL:FL)</f>
        <v>5605033.5999999996</v>
      </c>
      <c r="FM3" s="21">
        <f>AVERAGE(LISTE!FM:FM)</f>
        <v>572697.45833333337</v>
      </c>
      <c r="FN3" s="21">
        <f>AVERAGE(LISTE!FN:FN)</f>
        <v>494611.78723404254</v>
      </c>
      <c r="FO3" s="21">
        <f>AVERAGE(LISTE!FO:FO)</f>
        <v>1216439.2236842106</v>
      </c>
      <c r="FP3" s="21">
        <f>AVERAGE(LISTE!FP:FP)</f>
        <v>408642.84</v>
      </c>
      <c r="FQ3" s="21">
        <f>AVERAGE(LISTE!FQ:FQ)</f>
        <v>-1388209.8394160585</v>
      </c>
      <c r="FR3" s="21">
        <f>AVERAGE(LISTE!FR:FR)</f>
        <v>-91782.63354037267</v>
      </c>
      <c r="FS3" s="21">
        <f>AVERAGE(LISTE!FS:FS)</f>
        <v>664473.60377358494</v>
      </c>
      <c r="FT3" s="21">
        <f>AVERAGE(LISTE!FT:FT)</f>
        <v>891247.13725490193</v>
      </c>
      <c r="FU3" s="21">
        <f>AVERAGE(LISTE!FU:FU)</f>
        <v>122507.65289256198</v>
      </c>
      <c r="FV3" s="21">
        <f>AVERAGE(LISTE!FV:FV)</f>
        <v>186344.86666666667</v>
      </c>
      <c r="FW3" s="21">
        <f>AVERAGE(LISTE!FW:FW)</f>
        <v>-2642564.062745098</v>
      </c>
      <c r="FX3" s="21">
        <f>AVERAGE(LISTE!FX:FX)</f>
        <v>-7736456.7165991906</v>
      </c>
      <c r="FY3" s="21">
        <f>AVERAGE(LISTE!FY:FY)</f>
        <v>737179.01376146788</v>
      </c>
      <c r="FZ3" s="21">
        <f>AVERAGE(LISTE!FZ:FZ)</f>
        <v>454370.023364486</v>
      </c>
      <c r="GA3" s="21">
        <f>AVERAGE(LISTE!GA:GA)</f>
        <v>230619.22222222222</v>
      </c>
      <c r="GB3" s="21">
        <f>AVERAGE(LISTE!GB:GB)</f>
        <v>271658.11111111112</v>
      </c>
      <c r="GC3" s="21">
        <f>AVERAGE(LISTE!GC:GC)</f>
        <v>174397.32258064515</v>
      </c>
      <c r="GD3" s="21">
        <f>AVERAGE(LISTE!GD:GD)</f>
        <v>256165.17045454544</v>
      </c>
      <c r="GE3" s="21">
        <f>AVERAGE(LISTE!GE:GE)</f>
        <v>1558897.1315789474</v>
      </c>
      <c r="GF3" s="21">
        <f>AVERAGE(LISTE!GF:GF)</f>
        <v>782491.04</v>
      </c>
      <c r="GG3" s="21">
        <f>AVERAGE(LISTE!GG:GG)</f>
        <v>-14895000</v>
      </c>
      <c r="GH3" s="21">
        <f>AVERAGE(LISTE!GH:GH)</f>
        <v>-8088000</v>
      </c>
      <c r="GI3" s="21" t="e">
        <f>AVERAGE(LISTE!GI:GI)</f>
        <v>#DIV/0!</v>
      </c>
      <c r="GJ3" s="21">
        <f>AVERAGE(LISTE!GJ:GJ)</f>
        <v>-3075</v>
      </c>
      <c r="GK3" s="21">
        <f>AVERAGE(LISTE!GK:GK)</f>
        <v>682468.95555555553</v>
      </c>
      <c r="GL3" s="21">
        <f>AVERAGE(LISTE!GL:GL)</f>
        <v>884190.47916666663</v>
      </c>
      <c r="GM3" s="21">
        <f>AVERAGE(LISTE!GM:GM)</f>
        <v>11356218.452554744</v>
      </c>
      <c r="GN3" s="21">
        <f>AVERAGE(LISTE!GN:GN)</f>
        <v>93427693.671698108</v>
      </c>
      <c r="GO3" s="21">
        <f>AVERAGE(LISTE!GO:GO)</f>
        <v>2261685.4568527918</v>
      </c>
      <c r="GP3" s="21">
        <f>AVERAGE(LISTE!GP:GP)</f>
        <v>2620890.6631578947</v>
      </c>
      <c r="GQ3" s="21">
        <f>AVERAGE(LISTE!GQ:GQ)</f>
        <v>149063.875</v>
      </c>
      <c r="GR3" s="21">
        <f>AVERAGE(LISTE!GR:GR)</f>
        <v>127822.45</v>
      </c>
      <c r="GS3" s="21">
        <f>AVERAGE(LISTE!GS:GS)</f>
        <v>16869099.160642572</v>
      </c>
      <c r="GT3" s="21">
        <f>AVERAGE(LISTE!GT:GT)</f>
        <v>16651780.77593361</v>
      </c>
      <c r="GU3" s="21">
        <f>AVERAGE(LISTE!GU:GU)</f>
        <v>1329746.4205128206</v>
      </c>
      <c r="GV3" s="21">
        <f>AVERAGE(LISTE!GV:GV)</f>
        <v>867659.92063492059</v>
      </c>
      <c r="GW3" s="21">
        <f>AVERAGE(LISTE!GW:GW)</f>
        <v>1132025.731958763</v>
      </c>
      <c r="GX3" s="21">
        <f>AVERAGE(LISTE!GX:GX)</f>
        <v>930234.07446808508</v>
      </c>
      <c r="GY3" s="21">
        <f>AVERAGE(LISTE!GY:GY)</f>
        <v>54540166.405405402</v>
      </c>
      <c r="GZ3" s="21">
        <f>AVERAGE(LISTE!GZ:GZ)</f>
        <v>57160444.92727273</v>
      </c>
      <c r="HA3" s="21">
        <f>AVERAGE(LISTE!HA:HA)</f>
        <v>33461597.758241758</v>
      </c>
      <c r="HB3" s="21">
        <f>AVERAGE(LISTE!HB:HB)</f>
        <v>34955904.688888893</v>
      </c>
      <c r="HC3" s="21">
        <f>AVERAGE(LISTE!HC:HC)</f>
        <v>13883481.920187794</v>
      </c>
      <c r="HD3" s="21">
        <f>AVERAGE(LISTE!HD:HD)</f>
        <v>12544576.965686275</v>
      </c>
      <c r="HE3" s="21">
        <f>AVERAGE(LISTE!HE:HE)</f>
        <v>2730953.4052863438</v>
      </c>
      <c r="HF3" s="21">
        <f>AVERAGE(LISTE!HF:HF)</f>
        <v>2822383.5681818184</v>
      </c>
      <c r="HG3" s="21">
        <f>AVERAGE(LISTE!HG:HG)</f>
        <v>151992.59090909091</v>
      </c>
      <c r="HH3" s="21">
        <f>AVERAGE(LISTE!HH:HH)</f>
        <v>194091.7469879518</v>
      </c>
      <c r="HI3" s="21">
        <f>AVERAGE(LISTE!HI:HI)</f>
        <v>535239.72992700734</v>
      </c>
      <c r="HJ3" s="21">
        <f>AVERAGE(LISTE!HJ:HJ)</f>
        <v>-259329.20610687023</v>
      </c>
      <c r="HK3" s="21">
        <f>AVERAGE(LISTE!HK:HK)</f>
        <v>26954.777777777777</v>
      </c>
      <c r="HL3" s="21">
        <f>AVERAGE(LISTE!HL:HL)</f>
        <v>92023.571428571435</v>
      </c>
      <c r="HM3" s="21">
        <f>AVERAGE(LISTE!HM:HM)</f>
        <v>127348.15384615384</v>
      </c>
      <c r="HN3" s="21">
        <f>AVERAGE(LISTE!HN:HN)</f>
        <v>150235.22222222222</v>
      </c>
      <c r="HO3" s="21">
        <f>AVERAGE(LISTE!HO:HO)</f>
        <v>5107074.6496350365</v>
      </c>
      <c r="HP3" s="21">
        <f>AVERAGE(LISTE!HP:HP)</f>
        <v>3277638.8769230768</v>
      </c>
      <c r="HQ3" s="21">
        <f>AVERAGE(LISTE!HQ:HQ)</f>
        <v>449906.64</v>
      </c>
      <c r="HR3" s="21">
        <f>AVERAGE(LISTE!HR:HR)</f>
        <v>789266.39130434778</v>
      </c>
      <c r="HS3" s="21">
        <f>AVERAGE(LISTE!HS:HS)</f>
        <v>436737.48148148146</v>
      </c>
      <c r="HT3" s="21">
        <f>AVERAGE(LISTE!HT:HT)</f>
        <v>913054.625</v>
      </c>
      <c r="HU3" s="21">
        <f>AVERAGE(LISTE!HU:HU)</f>
        <v>-1915159.3809523811</v>
      </c>
      <c r="HV3" s="21">
        <f>AVERAGE(LISTE!HV:HV)</f>
        <v>-1734310.2732919254</v>
      </c>
      <c r="HW3" s="21">
        <f>AVERAGE(LISTE!HW:HW)</f>
        <v>150460.46666666667</v>
      </c>
      <c r="HX3" s="21">
        <f>AVERAGE(LISTE!HX:HX)</f>
        <v>110902.9268292683</v>
      </c>
      <c r="HY3" s="21">
        <f>AVERAGE(LISTE!HY:HY)</f>
        <v>609509.9444444445</v>
      </c>
      <c r="HZ3" s="21">
        <f>AVERAGE(LISTE!HZ:HZ)</f>
        <v>795259.58974358975</v>
      </c>
      <c r="IA3" s="21">
        <f>AVERAGE(LISTE!IA:IA)</f>
        <v>738503.50666666671</v>
      </c>
      <c r="IB3" s="21">
        <f>AVERAGE(LISTE!IB:IB)</f>
        <v>759617.37837837834</v>
      </c>
      <c r="IC3" s="21">
        <f>AVERAGE(LISTE!IC:IC)</f>
        <v>361677.72</v>
      </c>
      <c r="ID3" s="21">
        <f>AVERAGE(LISTE!ID:ID)</f>
        <v>288588.33333333331</v>
      </c>
      <c r="IE3" s="21">
        <f>AVERAGE(LISTE!IE:IE)</f>
        <v>1249816.3754266212</v>
      </c>
      <c r="IF3" s="21">
        <f>AVERAGE(LISTE!IF:IF)</f>
        <v>1217920.4894366197</v>
      </c>
      <c r="IG3" s="21">
        <f>AVERAGE(LISTE!IG:IG)</f>
        <v>465419.2</v>
      </c>
      <c r="IH3" s="21">
        <f>AVERAGE(LISTE!IH:IH)</f>
        <v>479733.77419354836</v>
      </c>
      <c r="II3" s="21">
        <f>AVERAGE(LISTE!II:II)</f>
        <v>26729.666666666668</v>
      </c>
      <c r="IJ3" s="21">
        <f>AVERAGE(LISTE!IJ:IJ)</f>
        <v>30990.166666666668</v>
      </c>
      <c r="IK3" s="21">
        <f>AVERAGE(LISTE!IK:IK)</f>
        <v>1138537.32</v>
      </c>
      <c r="IL3" s="21">
        <f>AVERAGE(LISTE!IL:IL)</f>
        <v>1045027.3461538461</v>
      </c>
      <c r="IM3" s="21">
        <f>AVERAGE(LISTE!IM:IM)</f>
        <v>2160789.6666666665</v>
      </c>
      <c r="IN3" s="21">
        <f>AVERAGE(LISTE!IN:IN)</f>
        <v>1959319.3606557378</v>
      </c>
      <c r="IO3" s="21">
        <f>AVERAGE(LISTE!IO:IO)</f>
        <v>25856.878048780487</v>
      </c>
      <c r="IP3" s="21">
        <f>AVERAGE(LISTE!IP:IP)</f>
        <v>30607.463414634145</v>
      </c>
      <c r="IQ3" s="21">
        <f>AVERAGE(LISTE!IQ:IQ)</f>
        <v>251884.37735849057</v>
      </c>
      <c r="IR3" s="21">
        <f>AVERAGE(LISTE!IR:IR)</f>
        <v>90535.528301886792</v>
      </c>
      <c r="IS3" s="21">
        <f>AVERAGE(LISTE!IS:IS)</f>
        <v>231893.06666666668</v>
      </c>
      <c r="IT3" s="21">
        <f>AVERAGE(LISTE!IT:IT)</f>
        <v>67441.241379310348</v>
      </c>
      <c r="IU3" s="21">
        <f>AVERAGE(LISTE!IU:IU)</f>
        <v>12631596.115646258</v>
      </c>
      <c r="IV3" s="21">
        <f>AVERAGE(LISTE!IV:IV)</f>
        <v>10318007.926056338</v>
      </c>
      <c r="IW3" s="21">
        <f>AVERAGE(LISTE!IW:IW)</f>
        <v>16707553.250847457</v>
      </c>
      <c r="IX3" s="21">
        <f>AVERAGE(LISTE!IX:IX)</f>
        <v>15093181.482394366</v>
      </c>
      <c r="IY3" s="21">
        <f>AVERAGE(LISTE!IY:IY)</f>
        <v>-2735760.5143884891</v>
      </c>
      <c r="IZ3" s="21">
        <f>AVERAGE(LISTE!IZ:IZ)</f>
        <v>-2660912.1338289962</v>
      </c>
      <c r="JA3" s="21">
        <f>AVERAGE(LISTE!JA:JA)</f>
        <v>1300350.3101265824</v>
      </c>
      <c r="JB3" s="21">
        <f>AVERAGE(LISTE!JB:JB)</f>
        <v>1268476.8355263157</v>
      </c>
      <c r="JC3" s="21">
        <f>AVERAGE(LISTE!JC:JC)</f>
        <v>455115.75862068968</v>
      </c>
      <c r="JD3" s="21">
        <f>AVERAGE(LISTE!JD:JD)</f>
        <v>416096.85</v>
      </c>
      <c r="JE3" s="21">
        <f>AVERAGE(LISTE!JE:JE)</f>
        <v>8672525.7588235289</v>
      </c>
      <c r="JF3" s="21">
        <f>AVERAGE(LISTE!JF:JF)</f>
        <v>8146592.7151515149</v>
      </c>
      <c r="JG3" s="21">
        <f>AVERAGE(LISTE!JG:JG)</f>
        <v>190088.8598130841</v>
      </c>
      <c r="JH3" s="21">
        <f>AVERAGE(LISTE!JH:JH)</f>
        <v>161732.45161290321</v>
      </c>
      <c r="JI3" s="21">
        <f>AVERAGE(LISTE!JI:JI)</f>
        <v>126707000.01632653</v>
      </c>
      <c r="JJ3" s="21">
        <f>AVERAGE(LISTE!JJ:JJ)</f>
        <v>129052248.10169491</v>
      </c>
      <c r="JK3" s="21">
        <f>AVERAGE(LISTE!JK:JK)</f>
        <v>2515949.2999999998</v>
      </c>
      <c r="JL3" s="21">
        <f>AVERAGE(LISTE!JL:JL)</f>
        <v>1270895.2152466369</v>
      </c>
      <c r="JM3" s="21">
        <f>AVERAGE(LISTE!JM:JM)</f>
        <v>181650776.29761904</v>
      </c>
      <c r="JN3" s="21">
        <f>AVERAGE(LISTE!JN:JN)</f>
        <v>182028246.95435685</v>
      </c>
      <c r="JO3" s="21">
        <f>AVERAGE(LISTE!JO:JO)</f>
        <v>821394.19409282703</v>
      </c>
      <c r="JP3" s="21">
        <f>AVERAGE(LISTE!JP:JP)</f>
        <v>1106872.3920704846</v>
      </c>
      <c r="JQ3" s="21">
        <f>AVERAGE(LISTE!JQ:JQ)</f>
        <v>6203967.333333333</v>
      </c>
      <c r="JR3" s="21">
        <f>AVERAGE(LISTE!JR:JR)</f>
        <v>6405017.0606060605</v>
      </c>
      <c r="JS3" s="21">
        <f>AVERAGE(LISTE!JS:JS)</f>
        <v>2460260.1126760566</v>
      </c>
      <c r="JT3" s="21">
        <f>AVERAGE(LISTE!JT:JT)</f>
        <v>3283309.7142857141</v>
      </c>
      <c r="JU3" s="21">
        <f>AVERAGE(LISTE!JU:JU)</f>
        <v>13128851.583333334</v>
      </c>
      <c r="JV3" s="21">
        <f>AVERAGE(LISTE!JV:JV)</f>
        <v>87859262.571428567</v>
      </c>
      <c r="JW3" s="21">
        <f>AVERAGE(LISTE!JW:JW)</f>
        <v>205673626.96214512</v>
      </c>
      <c r="JX3" s="21">
        <f>AVERAGE(LISTE!JX:JX)</f>
        <v>207887977.89836067</v>
      </c>
      <c r="JY3" s="21">
        <f>AVERAGE(LISTE!JY:JY)</f>
        <v>3005339.3333333335</v>
      </c>
      <c r="JZ3" s="21">
        <f>AVERAGE(LISTE!JZ:JZ)</f>
        <v>31181192.533333335</v>
      </c>
      <c r="KA3" s="21">
        <f>AVERAGE(LISTE!KA:KA)</f>
        <v>21484963</v>
      </c>
      <c r="KB3" s="21">
        <f>AVERAGE(LISTE!KB:KB)</f>
        <v>22119655.065217391</v>
      </c>
      <c r="KC3" s="21">
        <f>AVERAGE(LISTE!KC:KC)</f>
        <v>1390624</v>
      </c>
      <c r="KD3" s="21">
        <f>AVERAGE(LISTE!KD:KD)</f>
        <v>10232778.227272727</v>
      </c>
      <c r="KE3" s="21">
        <f>AVERAGE(LISTE!KE:KE)</f>
        <v>9711062.384615384</v>
      </c>
      <c r="KF3" s="21">
        <f>AVERAGE(LISTE!KF:KF)</f>
        <v>8047255.8082191776</v>
      </c>
      <c r="KG3" s="21">
        <f>AVERAGE(LISTE!KG:KG)</f>
        <v>13283717.1</v>
      </c>
      <c r="KH3" s="21">
        <f>AVERAGE(LISTE!KH:KH)</f>
        <v>80416794.111111104</v>
      </c>
      <c r="KI3" s="21">
        <f>AVERAGE(LISTE!KI:KI)</f>
        <v>76549656.09375</v>
      </c>
      <c r="KJ3" s="21">
        <f>AVERAGE(LISTE!KJ:KJ)</f>
        <v>80612536.94214876</v>
      </c>
      <c r="KK3" s="21">
        <f>AVERAGE(LISTE!KK:KK)</f>
        <v>668372</v>
      </c>
      <c r="KL3" s="21">
        <f>AVERAGE(LISTE!KL:KL)</f>
        <v>911735.83333333337</v>
      </c>
      <c r="KM3" s="21">
        <f>AVERAGE(LISTE!KM:KM)</f>
        <v>310000</v>
      </c>
      <c r="KN3" s="21">
        <f>AVERAGE(LISTE!KN:KN)</f>
        <v>310000</v>
      </c>
      <c r="KO3" s="21" t="e">
        <f>AVERAGE(LISTE!KO:KO)</f>
        <v>#DIV/0!</v>
      </c>
      <c r="KP3" s="21" t="e">
        <f>AVERAGE(LISTE!KP:KP)</f>
        <v>#DIV/0!</v>
      </c>
      <c r="KQ3" s="21">
        <f>AVERAGE(LISTE!KQ:KQ)</f>
        <v>7859242.7207207205</v>
      </c>
      <c r="KR3" s="21">
        <f>AVERAGE(LISTE!KR:KR)</f>
        <v>8197091.8790697679</v>
      </c>
      <c r="KS3" s="21">
        <f>AVERAGE(LISTE!KS:KS)</f>
        <v>6383983.666666667</v>
      </c>
      <c r="KT3" s="21">
        <f>AVERAGE(LISTE!KT:KT)</f>
        <v>1655193</v>
      </c>
      <c r="KU3" s="21">
        <f>AVERAGE(LISTE!KU:KU)</f>
        <v>17658572</v>
      </c>
      <c r="KV3" s="21">
        <f>AVERAGE(LISTE!KV:KV)</f>
        <v>14941991.884615384</v>
      </c>
      <c r="KW3" s="21">
        <f>AVERAGE(LISTE!KW:KW)</f>
        <v>18943.5</v>
      </c>
      <c r="KX3" s="21">
        <f>AVERAGE(LISTE!KX:KX)</f>
        <v>6431</v>
      </c>
      <c r="KY3" s="21">
        <f>AVERAGE(LISTE!KY:KY)</f>
        <v>2012744.4225352113</v>
      </c>
      <c r="KZ3" s="21">
        <f>AVERAGE(LISTE!KZ:KZ)</f>
        <v>2007634.6865671643</v>
      </c>
      <c r="LA3" s="21">
        <f>AVERAGE(LISTE!LA:LA)</f>
        <v>13483078.593846153</v>
      </c>
      <c r="LB3" s="21">
        <f>AVERAGE(LISTE!LB:LB)</f>
        <v>13073665.936305733</v>
      </c>
      <c r="LC3" s="21">
        <f>AVERAGE(LISTE!LC:LC)</f>
        <v>1007383</v>
      </c>
      <c r="LD3" s="21">
        <f>AVERAGE(LISTE!LD:LD)</f>
        <v>664111.93548387091</v>
      </c>
      <c r="LE3" s="21">
        <f>AVERAGE(LISTE!LE:LE)</f>
        <v>139129.5</v>
      </c>
      <c r="LF3" s="21">
        <f>AVERAGE(LISTE!LF:LF)</f>
        <v>145491.18309859154</v>
      </c>
      <c r="LG3" s="21">
        <f>AVERAGE(LISTE!LG:LG)</f>
        <v>7879432</v>
      </c>
      <c r="LH3" s="21">
        <f>AVERAGE(LISTE!LH:LH)</f>
        <v>8280287.666666667</v>
      </c>
      <c r="LI3" s="21">
        <f>AVERAGE(LISTE!LI:LI)</f>
        <v>5752986.4086021502</v>
      </c>
      <c r="LJ3" s="21">
        <f>AVERAGE(LISTE!LJ:LJ)</f>
        <v>5685263.3932584273</v>
      </c>
      <c r="LK3" s="21">
        <f>AVERAGE(LISTE!LK:LK)</f>
        <v>25800879.718120806</v>
      </c>
      <c r="LL3" s="21">
        <f>AVERAGE(LISTE!LL:LL)</f>
        <v>26733857.618881118</v>
      </c>
      <c r="LM3" s="21">
        <f>AVERAGE(LISTE!LM:LM)</f>
        <v>793075.13888888888</v>
      </c>
      <c r="LN3" s="21">
        <f>AVERAGE(LISTE!LN:LN)</f>
        <v>699962.04761904757</v>
      </c>
      <c r="LO3" s="21">
        <f>AVERAGE(LISTE!LO:LO)</f>
        <v>285087</v>
      </c>
      <c r="LP3" s="21">
        <f>AVERAGE(LISTE!LP:LP)</f>
        <v>289656</v>
      </c>
      <c r="LQ3" s="21" t="e">
        <f>AVERAGE(LISTE!LQ:LQ)</f>
        <v>#DIV/0!</v>
      </c>
      <c r="LR3" s="21" t="e">
        <f>AVERAGE(LISTE!LR:LR)</f>
        <v>#DIV/0!</v>
      </c>
      <c r="LS3" s="21">
        <f>AVERAGE(LISTE!LS:LS)</f>
        <v>12808801</v>
      </c>
      <c r="LT3" s="21" t="e">
        <f>AVERAGE(LISTE!LT:LT)</f>
        <v>#DIV/0!</v>
      </c>
      <c r="LU3" s="21">
        <f>AVERAGE(LISTE!LU:LU)</f>
        <v>-508684.54838709679</v>
      </c>
      <c r="LV3" s="21">
        <f>AVERAGE(LISTE!LV:LV)</f>
        <v>-713146.3448275862</v>
      </c>
      <c r="LW3" s="21">
        <f>AVERAGE(LISTE!LW:LW)</f>
        <v>1721178.5833333333</v>
      </c>
      <c r="LX3" s="21">
        <f>AVERAGE(LISTE!LX:LX)</f>
        <v>1312929.8333333333</v>
      </c>
      <c r="LY3" s="21">
        <f>AVERAGE(LISTE!LY:LY)</f>
        <v>2959724.2666666666</v>
      </c>
      <c r="LZ3" s="21">
        <f>AVERAGE(LISTE!LZ:LZ)</f>
        <v>1498888.6875</v>
      </c>
      <c r="MA3" s="21">
        <f>AVERAGE(LISTE!MA:MA)</f>
        <v>22483774.450704224</v>
      </c>
      <c r="MB3" s="21">
        <f>AVERAGE(LISTE!MB:MB)</f>
        <v>22735004.98561151</v>
      </c>
      <c r="MC3" s="21">
        <f>AVERAGE(LISTE!MC:MC)</f>
        <v>25371109.602272727</v>
      </c>
      <c r="MD3" s="21">
        <f>AVERAGE(LISTE!MD:MD)</f>
        <v>21741224.6171875</v>
      </c>
      <c r="ME3" s="21">
        <f>AVERAGE(LISTE!ME:ME)</f>
        <v>6026356.384615385</v>
      </c>
      <c r="MF3" s="21">
        <f>AVERAGE(LISTE!MF:MF)</f>
        <v>5805778.4285714282</v>
      </c>
      <c r="MG3" s="21">
        <f>AVERAGE(LISTE!MG:MG)</f>
        <v>43923109.594059408</v>
      </c>
      <c r="MH3" s="21">
        <f>AVERAGE(LISTE!MH:MH)</f>
        <v>41646194.733333334</v>
      </c>
      <c r="MI3" s="21">
        <f>AVERAGE(LISTE!MI:MI)</f>
        <v>57364833.278846152</v>
      </c>
      <c r="MJ3" s="21">
        <f>AVERAGE(LISTE!MJ:MJ)</f>
        <v>57092138.707070708</v>
      </c>
      <c r="MK3" s="21" t="e">
        <f>AVERAGE(LISTE!MK:MK)</f>
        <v>#DIV/0!</v>
      </c>
      <c r="ML3" s="21" t="e">
        <f>AVERAGE(LISTE!ML:ML)</f>
        <v>#DIV/0!</v>
      </c>
      <c r="MM3" s="21">
        <f>AVERAGE(LISTE!MM:MM)</f>
        <v>3806922.208695652</v>
      </c>
      <c r="MN3" s="21">
        <f>AVERAGE(LISTE!MN:MN)</f>
        <v>3744548.4234234234</v>
      </c>
      <c r="MO3" s="21">
        <f>AVERAGE(LISTE!MO:MO)</f>
        <v>1399087.5584415584</v>
      </c>
      <c r="MP3" s="21">
        <f>AVERAGE(LISTE!MP:MP)</f>
        <v>1370361.4657534247</v>
      </c>
      <c r="MQ3" s="21">
        <f>AVERAGE(LISTE!MQ:MQ)</f>
        <v>991674.641025641</v>
      </c>
      <c r="MR3" s="21">
        <f>AVERAGE(LISTE!MR:MR)</f>
        <v>908199.29268292687</v>
      </c>
      <c r="MS3" s="21">
        <f>AVERAGE(LISTE!MS:MS)</f>
        <v>6552.25</v>
      </c>
      <c r="MT3" s="21">
        <f>AVERAGE(LISTE!MT:MT)</f>
        <v>8221.5</v>
      </c>
      <c r="MU3" s="21">
        <f>AVERAGE(LISTE!MU:MU)</f>
        <v>-1553232.551724138</v>
      </c>
      <c r="MV3" s="21">
        <f>AVERAGE(LISTE!MV:MV)</f>
        <v>-617451.66666666663</v>
      </c>
      <c r="MW3" s="21">
        <f>AVERAGE(LISTE!MW:MW)</f>
        <v>14403078.214285715</v>
      </c>
      <c r="MX3" s="21">
        <f>AVERAGE(LISTE!MX:MX)</f>
        <v>14403548.781512605</v>
      </c>
      <c r="MY3" s="21">
        <f>AVERAGE(LISTE!MY:MY)</f>
        <v>7547887.4761904757</v>
      </c>
      <c r="MZ3" s="21">
        <f>AVERAGE(LISTE!MZ:MZ)</f>
        <v>5836657.2380952379</v>
      </c>
      <c r="NA3" s="21">
        <f>AVERAGE(LISTE!NA:NA)</f>
        <v>5730069.307692308</v>
      </c>
      <c r="NB3" s="21">
        <f>AVERAGE(LISTE!NB:NB)</f>
        <v>5250864</v>
      </c>
      <c r="NC3" s="21">
        <f>AVERAGE(LISTE!NC:NC)</f>
        <v>9792016.2691029906</v>
      </c>
      <c r="ND3" s="21">
        <f>AVERAGE(LISTE!ND:ND)</f>
        <v>10236718.251724139</v>
      </c>
      <c r="NE3" s="21">
        <f>AVERAGE(LISTE!NE:NE)</f>
        <v>299637.07692307694</v>
      </c>
      <c r="NF3" s="21">
        <f>AVERAGE(LISTE!NF:NF)</f>
        <v>284689.64285714284</v>
      </c>
      <c r="NG3" s="21">
        <f>AVERAGE(LISTE!NG:NG)</f>
        <v>107046654.23101266</v>
      </c>
      <c r="NH3" s="21">
        <f>AVERAGE(LISTE!NH:NH)</f>
        <v>104804069.61639345</v>
      </c>
      <c r="NI3" s="21">
        <f>AVERAGE(LISTE!NI:NI)</f>
        <v>29045974.357142858</v>
      </c>
      <c r="NJ3" s="21">
        <f>AVERAGE(LISTE!NJ:NJ)</f>
        <v>30890767.53846154</v>
      </c>
      <c r="NK3" s="21">
        <f>AVERAGE(LISTE!NK:NK)</f>
        <v>6123266.1616766471</v>
      </c>
      <c r="NL3" s="21">
        <f>AVERAGE(LISTE!NL:NL)</f>
        <v>6241809.1375000002</v>
      </c>
      <c r="NM3" s="21">
        <f>AVERAGE(LISTE!NM:NM)</f>
        <v>135920073.25510204</v>
      </c>
      <c r="NN3" s="21">
        <f>AVERAGE(LISTE!NN:NN)</f>
        <v>129665106.43109541</v>
      </c>
      <c r="NO3" s="21">
        <f>AVERAGE(LISTE!NO:NO)</f>
        <v>433541624.13373858</v>
      </c>
      <c r="NP3" s="21">
        <f>AVERAGE(LISTE!NP:NP)</f>
        <v>427222579.78233439</v>
      </c>
    </row>
    <row r="4" spans="1:401" x14ac:dyDescent="0.2">
      <c r="A4" s="188" t="s">
        <v>3472</v>
      </c>
      <c r="B4" s="188" t="s">
        <v>3472</v>
      </c>
      <c r="C4">
        <f>MAX(LISTE!C:C)</f>
        <v>355149</v>
      </c>
      <c r="D4" s="21">
        <f>MAX(LISTE!D:D)</f>
        <v>0</v>
      </c>
      <c r="E4" s="21">
        <f>MAX(LISTE!E:E)</f>
        <v>8757580</v>
      </c>
      <c r="F4" s="21">
        <f>MAX(LISTE!F:F)</f>
        <v>164143000</v>
      </c>
      <c r="G4" s="21">
        <f>MAX(LISTE!G:G)</f>
        <v>180711000</v>
      </c>
      <c r="H4" s="21">
        <f>MAX(LISTE!H:H)</f>
        <v>55883000</v>
      </c>
      <c r="I4" s="21">
        <f>MAX(LISTE!I:I)</f>
        <v>69287090</v>
      </c>
      <c r="J4" s="21">
        <f>MAX(LISTE!J:J)</f>
        <v>228815000</v>
      </c>
      <c r="K4" s="21">
        <f>MAX(LISTE!K:K)</f>
        <v>227044000</v>
      </c>
      <c r="L4" s="21">
        <f>MAX(LISTE!L:L)</f>
        <v>97142264</v>
      </c>
      <c r="M4" s="21">
        <f>MAX(LISTE!M:M)</f>
        <v>377000</v>
      </c>
      <c r="N4" s="21">
        <f>MAX(LISTE!N:N)</f>
        <v>52570000</v>
      </c>
      <c r="O4" s="21">
        <f>MAX(LISTE!O:O)</f>
        <v>52623000</v>
      </c>
      <c r="P4" s="21">
        <f>MAX(LISTE!P:P)</f>
        <v>35513906</v>
      </c>
      <c r="Q4" s="21">
        <f>MAX(LISTE!Q:Q)</f>
        <v>37647000</v>
      </c>
      <c r="R4" s="21">
        <f>MAX(LISTE!R:R)</f>
        <v>736465000</v>
      </c>
      <c r="S4" s="21">
        <f>MAX(LISTE!S:S)</f>
        <v>647602000</v>
      </c>
      <c r="T4" s="21">
        <f>MAX(LISTE!T:T)</f>
        <v>85434000</v>
      </c>
      <c r="U4" s="21">
        <f>MAX(LISTE!U:U)</f>
        <v>2309493</v>
      </c>
      <c r="V4" s="21">
        <f>MAX(LISTE!V:V)</f>
        <v>15801689</v>
      </c>
      <c r="W4" s="21">
        <f>MAX(LISTE!W:W)</f>
        <v>15100546</v>
      </c>
      <c r="X4" s="21">
        <f>MAX(LISTE!X:X)</f>
        <v>17567405</v>
      </c>
      <c r="Y4" s="21">
        <f>MAX(LISTE!Y:Y)</f>
        <v>3993750</v>
      </c>
      <c r="Z4" s="21">
        <f>MAX(LISTE!Z:Z)</f>
        <v>6168049</v>
      </c>
      <c r="AA4" s="21">
        <f>MAX(LISTE!AA:AA)</f>
        <v>6152822</v>
      </c>
      <c r="AB4" s="21">
        <f>MAX(LISTE!AB:AB)</f>
        <v>6273252</v>
      </c>
      <c r="AC4" s="21">
        <f>MAX(LISTE!AC:AC)</f>
        <v>0</v>
      </c>
      <c r="AD4" s="21">
        <f>MAX(LISTE!AD:AD)</f>
        <v>11930361</v>
      </c>
      <c r="AE4" s="21">
        <f>MAX(LISTE!AE:AE)</f>
        <v>2956820</v>
      </c>
      <c r="AF4" s="21">
        <f>MAX(LISTE!AF:AF)</f>
        <v>11930361</v>
      </c>
      <c r="AG4" s="21">
        <f>MAX(LISTE!AG:AG)</f>
        <v>0</v>
      </c>
      <c r="AH4" s="21">
        <f>MAX(LISTE!AH:AH)</f>
        <v>901</v>
      </c>
      <c r="AI4" s="21">
        <f>MAX(LISTE!AI:AI)</f>
        <v>110472</v>
      </c>
      <c r="AJ4" s="21">
        <f>MAX(LISTE!AJ:AJ)</f>
        <v>901</v>
      </c>
      <c r="AK4" s="21">
        <f>MAX(LISTE!AK:AK)</f>
        <v>5647</v>
      </c>
      <c r="AL4" s="21">
        <f>MAX(LISTE!AL:AL)</f>
        <v>86785000</v>
      </c>
      <c r="AM4" s="21">
        <f>MAX(LISTE!AM:AM)</f>
        <v>70819000</v>
      </c>
      <c r="AN4" s="21">
        <f>MAX(LISTE!AN:AN)</f>
        <v>2068000</v>
      </c>
      <c r="AO4" s="21">
        <f>MAX(LISTE!AO:AO)</f>
        <v>0</v>
      </c>
      <c r="AP4" s="21">
        <f>MAX(LISTE!AP:AP)</f>
        <v>52836</v>
      </c>
      <c r="AQ4" s="21">
        <f>MAX(LISTE!AQ:AQ)</f>
        <v>20768</v>
      </c>
      <c r="AR4" s="21">
        <f>MAX(LISTE!AR:AR)</f>
        <v>52836</v>
      </c>
      <c r="AS4" s="21">
        <f>MAX(LISTE!AS:AS)</f>
        <v>434208</v>
      </c>
      <c r="AT4" s="21">
        <f>MAX(LISTE!AT:AT)</f>
        <v>158826</v>
      </c>
      <c r="AU4" s="21">
        <f>MAX(LISTE!AU:AU)</f>
        <v>434208</v>
      </c>
      <c r="AV4" s="21">
        <f>MAX(LISTE!AV:AV)</f>
        <v>59626242</v>
      </c>
      <c r="AW4" s="21">
        <f>MAX(LISTE!AW:AW)</f>
        <v>61322109</v>
      </c>
      <c r="AX4" s="21">
        <f>MAX(LISTE!AX:AX)</f>
        <v>79346698</v>
      </c>
      <c r="AY4" s="21">
        <f>MAX(LISTE!AY:AY)</f>
        <v>0</v>
      </c>
      <c r="AZ4" s="21">
        <f>MAX(LISTE!AZ:AZ)</f>
        <v>42400000</v>
      </c>
      <c r="BA4" s="21">
        <f>MAX(LISTE!BA:BA)</f>
        <v>44400000</v>
      </c>
      <c r="BB4" s="21">
        <f>MAX(LISTE!BB:BB)</f>
        <v>10560258</v>
      </c>
      <c r="BC4" s="21">
        <f>MAX(LISTE!BC:BC)</f>
        <v>7660000</v>
      </c>
      <c r="BD4" s="21">
        <f>MAX(LISTE!BD:BD)</f>
        <v>1693000000</v>
      </c>
      <c r="BE4" s="21">
        <f>MAX(LISTE!BE:BE)</f>
        <v>1613000000</v>
      </c>
      <c r="BF4" s="21">
        <f>MAX(LISTE!BF:BF)</f>
        <v>444125000</v>
      </c>
      <c r="BG4" s="21">
        <f>MAX(LISTE!BG:BG)</f>
        <v>9564189</v>
      </c>
      <c r="BH4" s="21">
        <f>MAX(LISTE!BH:BH)</f>
        <v>4952684</v>
      </c>
      <c r="BI4" s="21">
        <f>MAX(LISTE!BI:BI)</f>
        <v>2106000</v>
      </c>
      <c r="BJ4" s="21">
        <f>MAX(LISTE!BJ:BJ)</f>
        <v>13106309</v>
      </c>
      <c r="BK4" s="21">
        <f>MAX(LISTE!BK:BK)</f>
        <v>162266767</v>
      </c>
      <c r="BL4" s="21">
        <f>MAX(LISTE!BL:BL)</f>
        <v>55853625</v>
      </c>
      <c r="BM4" s="21">
        <f>MAX(LISTE!BM:BM)</f>
        <v>79264600</v>
      </c>
      <c r="BN4" s="21">
        <f>MAX(LISTE!BN:BN)</f>
        <v>215723769</v>
      </c>
      <c r="BO4" s="21">
        <f>MAX(LISTE!BO:BO)</f>
        <v>682390</v>
      </c>
      <c r="BP4" s="21">
        <f>MAX(LISTE!BP:BP)</f>
        <v>10805090</v>
      </c>
      <c r="BQ4" s="21">
        <f>MAX(LISTE!BQ:BQ)</f>
        <v>9235888</v>
      </c>
      <c r="BR4" s="21">
        <f>MAX(LISTE!BR:BR)</f>
        <v>10805090</v>
      </c>
      <c r="BS4" s="21">
        <f>MAX(LISTE!BS:BS)</f>
        <v>0</v>
      </c>
      <c r="BT4" s="21">
        <f>MAX(LISTE!BT:BT)</f>
        <v>0</v>
      </c>
      <c r="BU4" s="21">
        <f>MAX(LISTE!BU:BU)</f>
        <v>0</v>
      </c>
      <c r="BV4" s="21">
        <f>MAX(LISTE!BV:BV)</f>
        <v>0</v>
      </c>
      <c r="BW4" s="21">
        <f>MAX(LISTE!BW:BW)</f>
        <v>0</v>
      </c>
      <c r="BX4" s="21">
        <f>MAX(LISTE!BX:BX)</f>
        <v>184276000</v>
      </c>
      <c r="BY4" s="21">
        <f>MAX(LISTE!BY:BY)</f>
        <v>145925000</v>
      </c>
      <c r="BZ4" s="21">
        <f>MAX(LISTE!BZ:BZ)</f>
        <v>50326824</v>
      </c>
      <c r="CA4" s="21">
        <f>MAX(LISTE!CA:CA)</f>
        <v>7383</v>
      </c>
      <c r="CB4" s="21">
        <f>MAX(LISTE!CB:CB)</f>
        <v>17566</v>
      </c>
      <c r="CC4" s="21">
        <f>MAX(LISTE!CC:CC)</f>
        <v>7383</v>
      </c>
      <c r="CD4" s="21">
        <f>MAX(LISTE!CD:CD)</f>
        <v>53968000</v>
      </c>
      <c r="CE4" s="21">
        <f>MAX(LISTE!CE:CE)</f>
        <v>1741000000</v>
      </c>
      <c r="CF4" s="21">
        <f>MAX(LISTE!CF:CF)</f>
        <v>1682000000</v>
      </c>
      <c r="CG4" s="21">
        <f>MAX(LISTE!CG:CG)</f>
        <v>315304000</v>
      </c>
      <c r="CH4" s="21">
        <f>MAX(LISTE!CH:CH)</f>
        <v>204000</v>
      </c>
      <c r="CI4" s="21">
        <f>MAX(LISTE!CI:CI)</f>
        <v>33581834</v>
      </c>
      <c r="CJ4" s="21">
        <f>MAX(LISTE!CJ:CJ)</f>
        <v>47437327</v>
      </c>
      <c r="CK4" s="21">
        <f>MAX(LISTE!CK:CK)</f>
        <v>33682431</v>
      </c>
      <c r="CL4" s="21">
        <f>MAX(LISTE!CL:CL)</f>
        <v>0</v>
      </c>
      <c r="CM4" s="21">
        <f>MAX(LISTE!CM:CM)</f>
        <v>792710</v>
      </c>
      <c r="CN4" s="21">
        <f>MAX(LISTE!CN:CN)</f>
        <v>1197959</v>
      </c>
      <c r="CO4" s="21">
        <f>MAX(LISTE!CO:CO)</f>
        <v>792710</v>
      </c>
      <c r="CP4" s="21">
        <f>MAX(LISTE!CP:CP)</f>
        <v>12835586</v>
      </c>
      <c r="CQ4" s="21">
        <f>MAX(LISTE!CQ:CQ)</f>
        <v>25679645</v>
      </c>
      <c r="CR4" s="21">
        <f>MAX(LISTE!CR:CR)</f>
        <v>25617445</v>
      </c>
      <c r="CS4" s="21">
        <f>MAX(LISTE!CS:CS)</f>
        <v>25679645</v>
      </c>
      <c r="CT4" s="21">
        <f>MAX(LISTE!CT:CT)</f>
        <v>445636</v>
      </c>
      <c r="CU4" s="21">
        <f>MAX(LISTE!CU:CU)</f>
        <v>473000</v>
      </c>
      <c r="CV4" s="21">
        <f>MAX(LISTE!CV:CV)</f>
        <v>387387</v>
      </c>
      <c r="CW4" s="21">
        <f>MAX(LISTE!CW:CW)</f>
        <v>835327</v>
      </c>
      <c r="CX4" s="21">
        <f>MAX(LISTE!CX:CX)</f>
        <v>206018</v>
      </c>
      <c r="CY4" s="21">
        <f>MAX(LISTE!CY:CY)</f>
        <v>51681000</v>
      </c>
      <c r="CZ4" s="21">
        <f>MAX(LISTE!CZ:CZ)</f>
        <v>33743000</v>
      </c>
      <c r="DA4" s="21">
        <f>MAX(LISTE!DA:DA)</f>
        <v>508855</v>
      </c>
      <c r="DB4" s="21">
        <f>MAX(LISTE!DB:DB)</f>
        <v>45059</v>
      </c>
      <c r="DC4" s="21">
        <f>MAX(LISTE!DC:DC)</f>
        <v>26275000</v>
      </c>
      <c r="DD4" s="21">
        <f>MAX(LISTE!DD:DD)</f>
        <v>19493000</v>
      </c>
      <c r="DE4" s="21">
        <f>MAX(LISTE!DE:DE)</f>
        <v>14145463</v>
      </c>
      <c r="DF4" s="21">
        <f>MAX(LISTE!DF:DF)</f>
        <v>127105908</v>
      </c>
      <c r="DG4" s="21">
        <f>MAX(LISTE!DG:DG)</f>
        <v>135169000</v>
      </c>
      <c r="DH4" s="21">
        <f>MAX(LISTE!DH:DH)</f>
        <v>112096000</v>
      </c>
      <c r="DI4" s="21">
        <f>MAX(LISTE!DI:DI)</f>
        <v>158958873</v>
      </c>
      <c r="DJ4" s="21">
        <f>MAX(LISTE!DJ:DJ)</f>
        <v>4340477</v>
      </c>
      <c r="DK4" s="21">
        <f>MAX(LISTE!DK:DK)</f>
        <v>76436574</v>
      </c>
      <c r="DL4" s="21">
        <f>MAX(LISTE!DL:DL)</f>
        <v>70263833</v>
      </c>
      <c r="DM4" s="21">
        <f>MAX(LISTE!DM:DM)</f>
        <v>78175271</v>
      </c>
      <c r="DN4" s="21">
        <f>MAX(LISTE!DN:DN)</f>
        <v>331703</v>
      </c>
      <c r="DO4" s="21">
        <f>MAX(LISTE!DO:DO)</f>
        <v>64376000</v>
      </c>
      <c r="DP4" s="21">
        <f>MAX(LISTE!DP:DP)</f>
        <v>60775000</v>
      </c>
      <c r="DQ4" s="21">
        <f>MAX(LISTE!DQ:DQ)</f>
        <v>36966980</v>
      </c>
      <c r="DR4" s="21">
        <f>MAX(LISTE!DR:DR)</f>
        <v>2884094</v>
      </c>
      <c r="DS4" s="21">
        <f>MAX(LISTE!DS:DS)</f>
        <v>17000000</v>
      </c>
      <c r="DT4" s="21">
        <f>MAX(LISTE!DT:DT)</f>
        <v>15000000</v>
      </c>
      <c r="DU4" s="21">
        <f>MAX(LISTE!DU:DU)</f>
        <v>18210910</v>
      </c>
      <c r="DV4" s="21">
        <f>MAX(LISTE!DV:DV)</f>
        <v>1258114</v>
      </c>
      <c r="DW4" s="21">
        <f>MAX(LISTE!DW:DW)</f>
        <v>5934456</v>
      </c>
      <c r="DX4" s="21">
        <f>MAX(LISTE!DX:DX)</f>
        <v>5936237</v>
      </c>
      <c r="DY4" s="21">
        <f>MAX(LISTE!DY:DY)</f>
        <v>5934456</v>
      </c>
      <c r="DZ4" s="21">
        <f>MAX(LISTE!DZ:DZ)</f>
        <v>164781</v>
      </c>
      <c r="EA4" s="21">
        <f>MAX(LISTE!EA:EA)</f>
        <v>471024</v>
      </c>
      <c r="EB4" s="21">
        <f>MAX(LISTE!EB:EB)</f>
        <v>164781</v>
      </c>
      <c r="EC4" s="21">
        <f>MAX(LISTE!EC:EC)</f>
        <v>3537177</v>
      </c>
      <c r="ED4" s="21">
        <f>MAX(LISTE!ED:ED)</f>
        <v>20758000</v>
      </c>
      <c r="EE4" s="21">
        <f>MAX(LISTE!EE:EE)</f>
        <v>19774000</v>
      </c>
      <c r="EF4" s="21">
        <f>MAX(LISTE!EF:EF)</f>
        <v>16828755</v>
      </c>
      <c r="EG4" s="21">
        <f>MAX(LISTE!EG:EG)</f>
        <v>66067099</v>
      </c>
      <c r="EH4" s="21">
        <f>MAX(LISTE!EH:EH)</f>
        <v>5486000000</v>
      </c>
      <c r="EI4" s="21">
        <f>MAX(LISTE!EI:EI)</f>
        <v>5397000000</v>
      </c>
      <c r="EJ4" s="21">
        <f>MAX(LISTE!EJ:EJ)</f>
        <v>184696375</v>
      </c>
      <c r="EK4" s="21">
        <f>MAX(LISTE!EK:EK)</f>
        <v>1230606000</v>
      </c>
      <c r="EL4" s="21">
        <f>MAX(LISTE!EL:EL)</f>
        <v>23310000000</v>
      </c>
      <c r="EM4" s="21">
        <f>MAX(LISTE!EM:EM)</f>
        <v>22557000000</v>
      </c>
      <c r="EN4" s="21">
        <f>MAX(LISTE!EN:EN)</f>
        <v>2155390000</v>
      </c>
      <c r="EO4" s="21">
        <f>MAX(LISTE!EO:EO)</f>
        <v>39629000</v>
      </c>
      <c r="EP4" s="21">
        <f>MAX(LISTE!EP:EP)</f>
        <v>32658700000</v>
      </c>
      <c r="EQ4" s="21">
        <f>MAX(LISTE!EQ:EQ)</f>
        <v>39500400000</v>
      </c>
      <c r="ER4" s="21">
        <f>MAX(LISTE!ER:ER)</f>
        <v>1257670000</v>
      </c>
      <c r="ES4" s="21">
        <f>MAX(LISTE!ES:ES)</f>
        <v>1270235000</v>
      </c>
      <c r="ET4" s="21">
        <f>MAX(LISTE!ET:ET)</f>
        <v>37180000000</v>
      </c>
      <c r="EU4" s="21">
        <f>MAX(LISTE!EU:EU)</f>
        <v>43670000000</v>
      </c>
      <c r="EV4" s="21">
        <f>MAX(LISTE!EV:EV)</f>
        <v>3334474000</v>
      </c>
      <c r="EW4" s="21">
        <f>MAX(LISTE!EW:EW)</f>
        <v>7198658</v>
      </c>
      <c r="EX4" s="21">
        <f>MAX(LISTE!EX:EX)</f>
        <v>17982039</v>
      </c>
      <c r="EY4" s="21">
        <f>MAX(LISTE!EY:EY)</f>
        <v>16561913</v>
      </c>
      <c r="EZ4" s="21">
        <f>MAX(LISTE!EZ:EZ)</f>
        <v>25180697</v>
      </c>
      <c r="FA4" s="21">
        <f>MAX(LISTE!FA:FA)</f>
        <v>33909185</v>
      </c>
      <c r="FB4" s="21">
        <f>MAX(LISTE!FB:FB)</f>
        <v>47227667</v>
      </c>
      <c r="FC4" s="21">
        <f>MAX(LISTE!FC:FC)</f>
        <v>43631348</v>
      </c>
      <c r="FD4" s="21">
        <f>MAX(LISTE!FD:FD)</f>
        <v>81136852</v>
      </c>
      <c r="FE4" s="21">
        <f>MAX(LISTE!FE:FE)</f>
        <v>3302031</v>
      </c>
      <c r="FF4" s="21">
        <f>MAX(LISTE!FF:FF)</f>
        <v>160839522</v>
      </c>
      <c r="FG4" s="21">
        <f>MAX(LISTE!FG:FG)</f>
        <v>136974559</v>
      </c>
      <c r="FH4" s="21">
        <f>MAX(LISTE!FH:FH)</f>
        <v>164141553</v>
      </c>
      <c r="FI4" s="21">
        <f>MAX(LISTE!FI:FI)</f>
        <v>11305163</v>
      </c>
      <c r="FJ4" s="21">
        <f>MAX(LISTE!FJ:FJ)</f>
        <v>14574534</v>
      </c>
      <c r="FK4" s="21">
        <f>MAX(LISTE!FK:FK)</f>
        <v>98923792</v>
      </c>
      <c r="FL4" s="21">
        <f>MAX(LISTE!FL:FL)</f>
        <v>42200000</v>
      </c>
      <c r="FM4" s="21">
        <f>MAX(LISTE!FM:FM)</f>
        <v>29818000</v>
      </c>
      <c r="FN4" s="21">
        <f>MAX(LISTE!FN:FN)</f>
        <v>27570000</v>
      </c>
      <c r="FO4" s="21">
        <f>MAX(LISTE!FO:FO)</f>
        <v>56324000</v>
      </c>
      <c r="FP4" s="21">
        <f>MAX(LISTE!FP:FP)</f>
        <v>7479000</v>
      </c>
      <c r="FQ4" s="21">
        <f>MAX(LISTE!FQ:FQ)</f>
        <v>28221000</v>
      </c>
      <c r="FR4" s="21">
        <f>MAX(LISTE!FR:FR)</f>
        <v>8656081</v>
      </c>
      <c r="FS4" s="21">
        <f>MAX(LISTE!FS:FS)</f>
        <v>22788000</v>
      </c>
      <c r="FT4" s="21">
        <f>MAX(LISTE!FT:FT)</f>
        <v>31386000</v>
      </c>
      <c r="FU4" s="21">
        <f>MAX(LISTE!FU:FU)</f>
        <v>16562000</v>
      </c>
      <c r="FV4" s="21">
        <f>MAX(LISTE!FV:FV)</f>
        <v>21617000</v>
      </c>
      <c r="FW4" s="21">
        <f>MAX(LISTE!FW:FW)</f>
        <v>51457000</v>
      </c>
      <c r="FX4" s="21">
        <f>MAX(LISTE!FX:FX)</f>
        <v>5722000</v>
      </c>
      <c r="FY4" s="21">
        <f>MAX(LISTE!FY:FY)</f>
        <v>84770026</v>
      </c>
      <c r="FZ4" s="21">
        <f>MAX(LISTE!FZ:FZ)</f>
        <v>28000000</v>
      </c>
      <c r="GA4" s="21">
        <f>MAX(LISTE!GA:GA)</f>
        <v>2668919</v>
      </c>
      <c r="GB4" s="21">
        <f>MAX(LISTE!GB:GB)</f>
        <v>2486162</v>
      </c>
      <c r="GC4" s="21">
        <f>MAX(LISTE!GC:GC)</f>
        <v>5243444</v>
      </c>
      <c r="GD4" s="21">
        <f>MAX(LISTE!GD:GD)</f>
        <v>3641000</v>
      </c>
      <c r="GE4" s="21">
        <f>MAX(LISTE!GE:GE)</f>
        <v>60273000</v>
      </c>
      <c r="GF4" s="21">
        <f>MAX(LISTE!GF:GF)</f>
        <v>13603000</v>
      </c>
      <c r="GG4" s="21">
        <f>MAX(LISTE!GG:GG)</f>
        <v>-14895000</v>
      </c>
      <c r="GH4" s="21">
        <f>MAX(LISTE!GH:GH)</f>
        <v>-8088000</v>
      </c>
      <c r="GI4" s="21">
        <f>MAX(LISTE!GI:GI)</f>
        <v>0</v>
      </c>
      <c r="GJ4" s="21">
        <f>MAX(LISTE!GJ:GJ)</f>
        <v>-3075</v>
      </c>
      <c r="GK4" s="21">
        <f>MAX(LISTE!GK:GK)</f>
        <v>22412000</v>
      </c>
      <c r="GL4" s="21">
        <f>MAX(LISTE!GL:GL)</f>
        <v>34233000</v>
      </c>
      <c r="GM4" s="21">
        <f>MAX(LISTE!GM:GM)</f>
        <v>1255000000</v>
      </c>
      <c r="GN4" s="21">
        <f>MAX(LISTE!GN:GN)</f>
        <v>19042719000</v>
      </c>
      <c r="GO4" s="21">
        <f>MAX(LISTE!GO:GO)</f>
        <v>26459000</v>
      </c>
      <c r="GP4" s="21">
        <f>MAX(LISTE!GP:GP)</f>
        <v>81363910</v>
      </c>
      <c r="GQ4" s="21">
        <f>MAX(LISTE!GQ:GQ)</f>
        <v>2454000</v>
      </c>
      <c r="GR4" s="21">
        <f>MAX(LISTE!GR:GR)</f>
        <v>1672000</v>
      </c>
      <c r="GS4" s="21">
        <f>MAX(LISTE!GS:GS)</f>
        <v>1733400000</v>
      </c>
      <c r="GT4" s="21">
        <f>MAX(LISTE!GT:GT)</f>
        <v>1492500000</v>
      </c>
      <c r="GU4" s="21">
        <f>MAX(LISTE!GU:GU)</f>
        <v>108930000</v>
      </c>
      <c r="GV4" s="21">
        <f>MAX(LISTE!GV:GV)</f>
        <v>66435000</v>
      </c>
      <c r="GW4" s="21">
        <f>MAX(LISTE!GW:GW)</f>
        <v>85013000</v>
      </c>
      <c r="GX4" s="21">
        <f>MAX(LISTE!GX:GX)</f>
        <v>46777000</v>
      </c>
      <c r="GY4" s="21">
        <f>MAX(LISTE!GY:GY)</f>
        <v>601847316</v>
      </c>
      <c r="GZ4" s="21">
        <f>MAX(LISTE!GZ:GZ)</f>
        <v>475608716</v>
      </c>
      <c r="HA4" s="21">
        <f>MAX(LISTE!HA:HA)</f>
        <v>1256057000</v>
      </c>
      <c r="HB4" s="21">
        <f>MAX(LISTE!HB:HB)</f>
        <v>1305956000</v>
      </c>
      <c r="HC4" s="21">
        <f>MAX(LISTE!HC:HC)</f>
        <v>1662385000</v>
      </c>
      <c r="HD4" s="21">
        <f>MAX(LISTE!HD:HD)</f>
        <v>1421291000</v>
      </c>
      <c r="HE4" s="21">
        <f>MAX(LISTE!HE:HE)</f>
        <v>306000000</v>
      </c>
      <c r="HF4" s="21">
        <f>MAX(LISTE!HF:HF)</f>
        <v>315000000</v>
      </c>
      <c r="HG4" s="21">
        <f>MAX(LISTE!HG:HG)</f>
        <v>2063000</v>
      </c>
      <c r="HH4" s="21">
        <f>MAX(LISTE!HH:HH)</f>
        <v>2505000</v>
      </c>
      <c r="HI4" s="21">
        <f>MAX(LISTE!HI:HI)</f>
        <v>124000000</v>
      </c>
      <c r="HJ4" s="21">
        <f>MAX(LISTE!HJ:HJ)</f>
        <v>152000000</v>
      </c>
      <c r="HK4" s="21">
        <f>MAX(LISTE!HK:HK)</f>
        <v>124257</v>
      </c>
      <c r="HL4" s="21">
        <f>MAX(LISTE!HL:HL)</f>
        <v>409000</v>
      </c>
      <c r="HM4" s="21">
        <f>MAX(LISTE!HM:HM)</f>
        <v>1599180</v>
      </c>
      <c r="HN4" s="21">
        <f>MAX(LISTE!HN:HN)</f>
        <v>1327411</v>
      </c>
      <c r="HO4" s="21">
        <f>MAX(LISTE!HO:HO)</f>
        <v>208551000</v>
      </c>
      <c r="HP4" s="21">
        <f>MAX(LISTE!HP:HP)</f>
        <v>64121000</v>
      </c>
      <c r="HQ4" s="21">
        <f>MAX(LISTE!HQ:HQ)</f>
        <v>6944000</v>
      </c>
      <c r="HR4" s="21">
        <f>MAX(LISTE!HR:HR)</f>
        <v>14904000</v>
      </c>
      <c r="HS4" s="21">
        <f>MAX(LISTE!HS:HS)</f>
        <v>7621000</v>
      </c>
      <c r="HT4" s="21">
        <f>MAX(LISTE!HT:HT)</f>
        <v>17005000</v>
      </c>
      <c r="HU4" s="21">
        <f>MAX(LISTE!HU:HU)</f>
        <v>35803000</v>
      </c>
      <c r="HV4" s="21">
        <f>MAX(LISTE!HV:HV)</f>
        <v>36281000</v>
      </c>
      <c r="HW4" s="21">
        <f>MAX(LISTE!HW:HW)</f>
        <v>5011000</v>
      </c>
      <c r="HX4" s="21">
        <f>MAX(LISTE!HX:HX)</f>
        <v>3222000</v>
      </c>
      <c r="HY4" s="21">
        <f>MAX(LISTE!HY:HY)</f>
        <v>17893843</v>
      </c>
      <c r="HZ4" s="21">
        <f>MAX(LISTE!HZ:HZ)</f>
        <v>18589264</v>
      </c>
      <c r="IA4" s="21">
        <f>MAX(LISTE!IA:IA)</f>
        <v>9503000</v>
      </c>
      <c r="IB4" s="21">
        <f>MAX(LISTE!IB:IB)</f>
        <v>10898000</v>
      </c>
      <c r="IC4" s="21">
        <f>MAX(LISTE!IC:IC)</f>
        <v>6147000</v>
      </c>
      <c r="ID4" s="21">
        <f>MAX(LISTE!ID:ID)</f>
        <v>4411000</v>
      </c>
      <c r="IE4" s="21">
        <f>MAX(LISTE!IE:IE)</f>
        <v>95000000</v>
      </c>
      <c r="IF4" s="21">
        <f>MAX(LISTE!IF:IF)</f>
        <v>92600000</v>
      </c>
      <c r="IG4" s="21">
        <f>MAX(LISTE!IG:IG)</f>
        <v>26022000</v>
      </c>
      <c r="IH4" s="21">
        <f>MAX(LISTE!IH:IH)</f>
        <v>25068000</v>
      </c>
      <c r="II4" s="21">
        <f>MAX(LISTE!II:II)</f>
        <v>80324</v>
      </c>
      <c r="IJ4" s="21">
        <f>MAX(LISTE!IJ:IJ)</f>
        <v>116725</v>
      </c>
      <c r="IK4" s="21">
        <f>MAX(LISTE!IK:IK)</f>
        <v>14327000</v>
      </c>
      <c r="IL4" s="21">
        <f>MAX(LISTE!IL:IL)</f>
        <v>14423000</v>
      </c>
      <c r="IM4" s="21">
        <f>MAX(LISTE!IM:IM)</f>
        <v>100950851</v>
      </c>
      <c r="IN4" s="21">
        <f>MAX(LISTE!IN:IN)</f>
        <v>98695028</v>
      </c>
      <c r="IO4" s="21">
        <f>MAX(LISTE!IO:IO)</f>
        <v>474472</v>
      </c>
      <c r="IP4" s="21">
        <f>MAX(LISTE!IP:IP)</f>
        <v>803469</v>
      </c>
      <c r="IQ4" s="21">
        <f>MAX(LISTE!IQ:IQ)</f>
        <v>9463092</v>
      </c>
      <c r="IR4" s="21">
        <f>MAX(LISTE!IR:IR)</f>
        <v>2737085</v>
      </c>
      <c r="IS4" s="21">
        <f>MAX(LISTE!IS:IS)</f>
        <v>3256638</v>
      </c>
      <c r="IT4" s="21">
        <f>MAX(LISTE!IT:IT)</f>
        <v>1349552</v>
      </c>
      <c r="IU4" s="21">
        <f>MAX(LISTE!IU:IU)</f>
        <v>1663000000</v>
      </c>
      <c r="IV4" s="21">
        <f>MAX(LISTE!IV:IV)</f>
        <v>1858000000</v>
      </c>
      <c r="IW4" s="21">
        <f>MAX(LISTE!IW:IW)</f>
        <v>2095000000</v>
      </c>
      <c r="IX4" s="21">
        <f>MAX(LISTE!IX:IX)</f>
        <v>2232000000</v>
      </c>
      <c r="IY4" s="21">
        <f>MAX(LISTE!IY:IY)</f>
        <v>103263000</v>
      </c>
      <c r="IZ4" s="21">
        <f>MAX(LISTE!IZ:IZ)</f>
        <v>80969000</v>
      </c>
      <c r="JA4" s="21">
        <f>MAX(LISTE!JA:JA)</f>
        <v>38398000</v>
      </c>
      <c r="JB4" s="21">
        <f>MAX(LISTE!JB:JB)</f>
        <v>41404000</v>
      </c>
      <c r="JC4" s="21">
        <f>MAX(LISTE!JC:JC)</f>
        <v>10247000</v>
      </c>
      <c r="JD4" s="21">
        <f>MAX(LISTE!JD:JD)</f>
        <v>7243000</v>
      </c>
      <c r="JE4" s="21">
        <f>MAX(LISTE!JE:JE)</f>
        <v>426732000</v>
      </c>
      <c r="JF4" s="21">
        <f>MAX(LISTE!JF:JF)</f>
        <v>361038000</v>
      </c>
      <c r="JG4" s="21">
        <f>MAX(LISTE!JG:JG)</f>
        <v>6887000</v>
      </c>
      <c r="JH4" s="21">
        <f>MAX(LISTE!JH:JH)</f>
        <v>8528000</v>
      </c>
      <c r="JI4" s="21">
        <f>MAX(LISTE!JI:JI)</f>
        <v>6416100000</v>
      </c>
      <c r="JJ4" s="21">
        <f>MAX(LISTE!JJ:JJ)</f>
        <v>6025000000</v>
      </c>
      <c r="JK4" s="21">
        <f>MAX(LISTE!JK:JK)</f>
        <v>495000000</v>
      </c>
      <c r="JL4" s="21">
        <f>MAX(LISTE!JL:JL)</f>
        <v>427000000</v>
      </c>
      <c r="JM4" s="21">
        <f>MAX(LISTE!JM:JM)</f>
        <v>12379800000</v>
      </c>
      <c r="JN4" s="21">
        <f>MAX(LISTE!JN:JN)</f>
        <v>11667800000</v>
      </c>
      <c r="JO4" s="21">
        <f>MAX(LISTE!JO:JO)</f>
        <v>63000000</v>
      </c>
      <c r="JP4" s="21">
        <f>MAX(LISTE!JP:JP)</f>
        <v>73000000</v>
      </c>
      <c r="JQ4" s="21">
        <f>MAX(LISTE!JQ:JQ)</f>
        <v>413213455</v>
      </c>
      <c r="JR4" s="21">
        <f>MAX(LISTE!JR:JR)</f>
        <v>499197522</v>
      </c>
      <c r="JS4" s="21">
        <f>MAX(LISTE!JS:JS)</f>
        <v>181040000</v>
      </c>
      <c r="JT4" s="21">
        <f>MAX(LISTE!JT:JT)</f>
        <v>232036000</v>
      </c>
      <c r="JU4" s="21">
        <f>MAX(LISTE!JU:JU)</f>
        <v>34558653</v>
      </c>
      <c r="JV4" s="21">
        <f>MAX(LISTE!JV:JV)</f>
        <v>312874407</v>
      </c>
      <c r="JW4" s="21">
        <f>MAX(LISTE!JW:JW)</f>
        <v>8682000000</v>
      </c>
      <c r="JX4" s="21">
        <f>MAX(LISTE!JX:JX)</f>
        <v>9010000000</v>
      </c>
      <c r="JY4" s="21">
        <f>MAX(LISTE!JY:JY)</f>
        <v>13895136</v>
      </c>
      <c r="JZ4" s="21">
        <f>MAX(LISTE!JZ:JZ)</f>
        <v>311486237</v>
      </c>
      <c r="KA4" s="21">
        <f>MAX(LISTE!KA:KA)</f>
        <v>312874407</v>
      </c>
      <c r="KB4" s="21">
        <f>MAX(LISTE!KB:KB)</f>
        <v>294317341</v>
      </c>
      <c r="KC4" s="21">
        <f>MAX(LISTE!KC:KC)</f>
        <v>11921473</v>
      </c>
      <c r="KD4" s="21">
        <f>MAX(LISTE!KD:KD)</f>
        <v>84532703</v>
      </c>
      <c r="KE4" s="21">
        <f>MAX(LISTE!KE:KE)</f>
        <v>118446789</v>
      </c>
      <c r="KF4" s="21">
        <f>MAX(LISTE!KF:KF)</f>
        <v>58922707</v>
      </c>
      <c r="KG4" s="21">
        <f>MAX(LISTE!KG:KG)</f>
        <v>34558653</v>
      </c>
      <c r="KH4" s="21">
        <f>MAX(LISTE!KH:KH)</f>
        <v>197926320</v>
      </c>
      <c r="KI4" s="21">
        <f>MAX(LISTE!KI:KI)</f>
        <v>747750760</v>
      </c>
      <c r="KJ4" s="21">
        <f>MAX(LISTE!KJ:KJ)</f>
        <v>605028096</v>
      </c>
      <c r="KK4" s="21">
        <f>MAX(LISTE!KK:KK)</f>
        <v>8739337</v>
      </c>
      <c r="KL4" s="21">
        <f>MAX(LISTE!KL:KL)</f>
        <v>9486307</v>
      </c>
      <c r="KM4" s="21">
        <f>MAX(LISTE!KM:KM)</f>
        <v>310000</v>
      </c>
      <c r="KN4" s="21">
        <f>MAX(LISTE!KN:KN)</f>
        <v>310000</v>
      </c>
      <c r="KO4" s="21">
        <f>MAX(LISTE!KO:KO)</f>
        <v>0</v>
      </c>
      <c r="KP4" s="21">
        <f>MAX(LISTE!KP:KP)</f>
        <v>0</v>
      </c>
      <c r="KQ4" s="21">
        <f>MAX(LISTE!KQ:KQ)</f>
        <v>422665000</v>
      </c>
      <c r="KR4" s="21">
        <f>MAX(LISTE!KR:KR)</f>
        <v>434011000</v>
      </c>
      <c r="KS4" s="21">
        <f>MAX(LISTE!KS:KS)</f>
        <v>22021000</v>
      </c>
      <c r="KT4" s="21">
        <f>MAX(LISTE!KT:KT)</f>
        <v>3309748</v>
      </c>
      <c r="KU4" s="21">
        <f>MAX(LISTE!KU:KU)</f>
        <v>327758959</v>
      </c>
      <c r="KV4" s="21">
        <f>MAX(LISTE!KV:KV)</f>
        <v>250927878</v>
      </c>
      <c r="KW4" s="21">
        <f>MAX(LISTE!KW:KW)</f>
        <v>31456</v>
      </c>
      <c r="KX4" s="21">
        <f>MAX(LISTE!KX:KX)</f>
        <v>6431</v>
      </c>
      <c r="KY4" s="21">
        <f>MAX(LISTE!KY:KY)</f>
        <v>41534000</v>
      </c>
      <c r="KZ4" s="21">
        <f>MAX(LISTE!KZ:KZ)</f>
        <v>38523969</v>
      </c>
      <c r="LA4" s="21">
        <f>MAX(LISTE!LA:LA)</f>
        <v>658600000</v>
      </c>
      <c r="LB4" s="21">
        <f>MAX(LISTE!LB:LB)</f>
        <v>658600000</v>
      </c>
      <c r="LC4" s="21">
        <f>MAX(LISTE!LC:LC)</f>
        <v>10115093</v>
      </c>
      <c r="LD4" s="21">
        <f>MAX(LISTE!LD:LD)</f>
        <v>9574398</v>
      </c>
      <c r="LE4" s="21">
        <f>MAX(LISTE!LE:LE)</f>
        <v>1735000</v>
      </c>
      <c r="LF4" s="21">
        <f>MAX(LISTE!LF:LF)</f>
        <v>1497000</v>
      </c>
      <c r="LG4" s="21">
        <f>MAX(LISTE!LG:LG)</f>
        <v>9369033</v>
      </c>
      <c r="LH4" s="21">
        <f>MAX(LISTE!LH:LH)</f>
        <v>9738291</v>
      </c>
      <c r="LI4" s="21">
        <f>MAX(LISTE!LI:LI)</f>
        <v>80324000</v>
      </c>
      <c r="LJ4" s="21">
        <f>MAX(LISTE!LJ:LJ)</f>
        <v>77360000</v>
      </c>
      <c r="LK4" s="21">
        <f>MAX(LISTE!LK:LK)</f>
        <v>1688000000</v>
      </c>
      <c r="LL4" s="21">
        <f>MAX(LISTE!LL:LL)</f>
        <v>1826000000</v>
      </c>
      <c r="LM4" s="21">
        <f>MAX(LISTE!LM:LM)</f>
        <v>15220000</v>
      </c>
      <c r="LN4" s="21">
        <f>MAX(LISTE!LN:LN)</f>
        <v>15114758</v>
      </c>
      <c r="LO4" s="21">
        <f>MAX(LISTE!LO:LO)</f>
        <v>563535</v>
      </c>
      <c r="LP4" s="21">
        <f>MAX(LISTE!LP:LP)</f>
        <v>575403</v>
      </c>
      <c r="LQ4" s="21">
        <f>MAX(LISTE!LQ:LQ)</f>
        <v>0</v>
      </c>
      <c r="LR4" s="21">
        <f>MAX(LISTE!LR:LR)</f>
        <v>0</v>
      </c>
      <c r="LS4" s="21">
        <f>MAX(LISTE!LS:LS)</f>
        <v>12808801</v>
      </c>
      <c r="LT4" s="21">
        <f>MAX(LISTE!LT:LT)</f>
        <v>0</v>
      </c>
      <c r="LU4" s="21">
        <f>MAX(LISTE!LU:LU)</f>
        <v>26800000</v>
      </c>
      <c r="LV4" s="21">
        <f>MAX(LISTE!LV:LV)</f>
        <v>27500000</v>
      </c>
      <c r="LW4" s="21">
        <f>MAX(LISTE!LW:LW)</f>
        <v>10547837</v>
      </c>
      <c r="LX4" s="21">
        <f>MAX(LISTE!LX:LX)</f>
        <v>10547804</v>
      </c>
      <c r="LY4" s="21">
        <f>MAX(LISTE!LY:LY)</f>
        <v>41691000</v>
      </c>
      <c r="LZ4" s="21">
        <f>MAX(LISTE!LZ:LZ)</f>
        <v>20637000</v>
      </c>
      <c r="MA4" s="21">
        <f>MAX(LISTE!MA:MA)</f>
        <v>1099800000</v>
      </c>
      <c r="MB4" s="21">
        <f>MAX(LISTE!MB:MB)</f>
        <v>1110000000</v>
      </c>
      <c r="MC4" s="21">
        <f>MAX(LISTE!MC:MC)</f>
        <v>934108000</v>
      </c>
      <c r="MD4" s="21">
        <f>MAX(LISTE!MD:MD)</f>
        <v>833196000</v>
      </c>
      <c r="ME4" s="21">
        <f>MAX(LISTE!ME:ME)</f>
        <v>24743000</v>
      </c>
      <c r="MF4" s="21">
        <f>MAX(LISTE!MF:MF)</f>
        <v>28000564</v>
      </c>
      <c r="MG4" s="21">
        <f>MAX(LISTE!MG:MG)</f>
        <v>3556000000</v>
      </c>
      <c r="MH4" s="21">
        <f>MAX(LISTE!MH:MH)</f>
        <v>3421000000</v>
      </c>
      <c r="MI4" s="21">
        <f>MAX(LISTE!MI:MI)</f>
        <v>3052000000</v>
      </c>
      <c r="MJ4" s="21">
        <f>MAX(LISTE!MJ:MJ)</f>
        <v>3052000000</v>
      </c>
      <c r="MK4" s="21">
        <f>MAX(LISTE!MK:MK)</f>
        <v>0</v>
      </c>
      <c r="ML4" s="21">
        <f>MAX(LISTE!ML:ML)</f>
        <v>0</v>
      </c>
      <c r="MM4" s="21">
        <f>MAX(LISTE!MM:MM)</f>
        <v>216600000</v>
      </c>
      <c r="MN4" s="21">
        <f>MAX(LISTE!MN:MN)</f>
        <v>214000000</v>
      </c>
      <c r="MO4" s="21">
        <f>MAX(LISTE!MO:MO)</f>
        <v>29692000</v>
      </c>
      <c r="MP4" s="21">
        <f>MAX(LISTE!MP:MP)</f>
        <v>28058000</v>
      </c>
      <c r="MQ4" s="21">
        <f>MAX(LISTE!MQ:MQ)</f>
        <v>39093000</v>
      </c>
      <c r="MR4" s="21">
        <f>MAX(LISTE!MR:MR)</f>
        <v>33975000</v>
      </c>
      <c r="MS4" s="21">
        <f>MAX(LISTE!MS:MS)</f>
        <v>49842</v>
      </c>
      <c r="MT4" s="21">
        <f>MAX(LISTE!MT:MT)</f>
        <v>59810</v>
      </c>
      <c r="MU4" s="21">
        <f>MAX(LISTE!MU:MU)</f>
        <v>9593761</v>
      </c>
      <c r="MV4" s="21">
        <f>MAX(LISTE!MV:MV)</f>
        <v>24941706</v>
      </c>
      <c r="MW4" s="21">
        <f>MAX(LISTE!MW:MW)</f>
        <v>736276000</v>
      </c>
      <c r="MX4" s="21">
        <f>MAX(LISTE!MX:MX)</f>
        <v>701267000</v>
      </c>
      <c r="MY4" s="21">
        <f>MAX(LISTE!MY:MY)</f>
        <v>71918867</v>
      </c>
      <c r="MZ4" s="21">
        <f>MAX(LISTE!MZ:MZ)</f>
        <v>49415315</v>
      </c>
      <c r="NA4" s="21">
        <f>MAX(LISTE!NA:NA)</f>
        <v>24823328</v>
      </c>
      <c r="NB4" s="21">
        <f>MAX(LISTE!NB:NB)</f>
        <v>24748588</v>
      </c>
      <c r="NC4" s="21">
        <f>MAX(LISTE!NC:NC)</f>
        <v>1235000000</v>
      </c>
      <c r="ND4" s="21">
        <f>MAX(LISTE!ND:ND)</f>
        <v>1393000000</v>
      </c>
      <c r="NE4" s="21">
        <f>MAX(LISTE!NE:NE)</f>
        <v>1238085</v>
      </c>
      <c r="NF4" s="21">
        <f>MAX(LISTE!NF:NF)</f>
        <v>1060000</v>
      </c>
      <c r="NG4" s="21">
        <f>MAX(LISTE!NG:NG)</f>
        <v>13337000000</v>
      </c>
      <c r="NH4" s="21">
        <f>MAX(LISTE!NH:NH)</f>
        <v>13706000000</v>
      </c>
      <c r="NI4" s="21">
        <f>MAX(LISTE!NI:NI)</f>
        <v>357289192</v>
      </c>
      <c r="NJ4" s="21">
        <f>MAX(LISTE!NJ:NJ)</f>
        <v>358459832</v>
      </c>
      <c r="NK4" s="21">
        <f>MAX(LISTE!NK:NK)</f>
        <v>362389292</v>
      </c>
      <c r="NL4" s="21">
        <f>MAX(LISTE!NL:NL)</f>
        <v>385354443</v>
      </c>
      <c r="NM4" s="21">
        <f>MAX(LISTE!NM:NM)</f>
        <v>13536000000</v>
      </c>
      <c r="NN4" s="21">
        <f>MAX(LISTE!NN:NN)</f>
        <v>12781000000</v>
      </c>
      <c r="NO4" s="21">
        <f>MAX(LISTE!NO:NO)</f>
        <v>37180000000</v>
      </c>
      <c r="NP4" s="21">
        <f>MAX(LISTE!NP:NP)</f>
        <v>43670000000</v>
      </c>
    </row>
    <row r="5" spans="1:401" x14ac:dyDescent="0.2">
      <c r="A5" s="190" t="s">
        <v>3473</v>
      </c>
      <c r="B5" s="190" t="s">
        <v>3473</v>
      </c>
      <c r="C5">
        <f>QUARTILE(LISTE!C:C,3)</f>
        <v>322740.75</v>
      </c>
      <c r="D5" s="21" t="e">
        <f>QUARTILE(LISTE!D:D,3)</f>
        <v>#NUM!</v>
      </c>
      <c r="E5" s="21">
        <f>QUARTILE(LISTE!E:E,3)</f>
        <v>540205.25</v>
      </c>
      <c r="F5" s="21">
        <f>QUARTILE(LISTE!F:F,3)</f>
        <v>5517440</v>
      </c>
      <c r="G5" s="21">
        <f>QUARTILE(LISTE!G:G,3)</f>
        <v>5475104</v>
      </c>
      <c r="H5" s="21">
        <f>QUARTILE(LISTE!H:H,3)</f>
        <v>4949081</v>
      </c>
      <c r="I5" s="21">
        <f>QUARTILE(LISTE!I:I,3)</f>
        <v>4294048</v>
      </c>
      <c r="J5" s="21">
        <f>QUARTILE(LISTE!J:J,3)</f>
        <v>1953880.5</v>
      </c>
      <c r="K5" s="21">
        <f>QUARTILE(LISTE!K:K,3)</f>
        <v>2119988</v>
      </c>
      <c r="L5" s="21">
        <f>QUARTILE(LISTE!L:L,3)</f>
        <v>5998724.75</v>
      </c>
      <c r="M5" s="21">
        <f>QUARTILE(LISTE!M:M,3)</f>
        <v>52500</v>
      </c>
      <c r="N5" s="21">
        <f>QUARTILE(LISTE!N:N,3)</f>
        <v>503000</v>
      </c>
      <c r="O5" s="21">
        <f>QUARTILE(LISTE!O:O,3)</f>
        <v>443005</v>
      </c>
      <c r="P5" s="21">
        <f>QUARTILE(LISTE!P:P,3)</f>
        <v>479000</v>
      </c>
      <c r="Q5" s="21">
        <f>QUARTILE(LISTE!Q:Q,3)</f>
        <v>369977</v>
      </c>
      <c r="R5" s="21">
        <f>QUARTILE(LISTE!R:R,3)</f>
        <v>2194750</v>
      </c>
      <c r="S5" s="21">
        <f>QUARTILE(LISTE!S:S,3)</f>
        <v>3606000</v>
      </c>
      <c r="T5" s="21">
        <f>QUARTILE(LISTE!T:T,3)</f>
        <v>758809</v>
      </c>
      <c r="U5" s="21">
        <f>QUARTILE(LISTE!U:U,3)</f>
        <v>719440</v>
      </c>
      <c r="V5" s="21">
        <f>QUARTILE(LISTE!V:V,3)</f>
        <v>506646.75</v>
      </c>
      <c r="W5" s="21">
        <f>QUARTILE(LISTE!W:W,3)</f>
        <v>553251</v>
      </c>
      <c r="X5" s="21">
        <f>QUARTILE(LISTE!X:X,3)</f>
        <v>554562</v>
      </c>
      <c r="Y5" s="21">
        <f>QUARTILE(LISTE!Y:Y,3)</f>
        <v>212227.5</v>
      </c>
      <c r="Z5" s="21">
        <f>QUARTILE(LISTE!Z:Z,3)</f>
        <v>1514460</v>
      </c>
      <c r="AA5" s="21">
        <f>QUARTILE(LISTE!AA:AA,3)</f>
        <v>1470760.5</v>
      </c>
      <c r="AB5" s="21">
        <f>QUARTILE(LISTE!AB:AB,3)</f>
        <v>1687496</v>
      </c>
      <c r="AC5" s="21" t="e">
        <f>QUARTILE(LISTE!AC:AC,3)</f>
        <v>#NUM!</v>
      </c>
      <c r="AD5" s="21">
        <f>QUARTILE(LISTE!AD:AD,3)</f>
        <v>104016.5</v>
      </c>
      <c r="AE5" s="21">
        <f>QUARTILE(LISTE!AE:AE,3)</f>
        <v>195339</v>
      </c>
      <c r="AF5" s="21">
        <f>QUARTILE(LISTE!AF:AF,3)</f>
        <v>52512</v>
      </c>
      <c r="AG5" s="21" t="e">
        <f>QUARTILE(LISTE!AG:AG,3)</f>
        <v>#NUM!</v>
      </c>
      <c r="AH5" s="21">
        <f>QUARTILE(LISTE!AH:AH,3)</f>
        <v>901</v>
      </c>
      <c r="AI5" s="21">
        <f>QUARTILE(LISTE!AI:AI,3)</f>
        <v>110472</v>
      </c>
      <c r="AJ5" s="21">
        <f>QUARTILE(LISTE!AJ:AJ,3)</f>
        <v>901</v>
      </c>
      <c r="AK5" s="21">
        <f>QUARTILE(LISTE!AK:AK,3)</f>
        <v>5647</v>
      </c>
      <c r="AL5" s="21">
        <f>QUARTILE(LISTE!AL:AL,3)</f>
        <v>196803</v>
      </c>
      <c r="AM5" s="21">
        <f>QUARTILE(LISTE!AM:AM,3)</f>
        <v>190786</v>
      </c>
      <c r="AN5" s="21">
        <f>QUARTILE(LISTE!AN:AN,3)</f>
        <v>185041.5</v>
      </c>
      <c r="AO5" s="21" t="e">
        <f>QUARTILE(LISTE!AO:AO,3)</f>
        <v>#NUM!</v>
      </c>
      <c r="AP5" s="21">
        <f>QUARTILE(LISTE!AP:AP,3)</f>
        <v>36802</v>
      </c>
      <c r="AQ5" s="21">
        <f>QUARTILE(LISTE!AQ:AQ,3)</f>
        <v>11134</v>
      </c>
      <c r="AR5" s="21">
        <f>QUARTILE(LISTE!AR:AR,3)</f>
        <v>36802</v>
      </c>
      <c r="AS5" s="21">
        <f>QUARTILE(LISTE!AS:AS,3)</f>
        <v>25000</v>
      </c>
      <c r="AT5" s="21">
        <f>QUARTILE(LISTE!AT:AT,3)</f>
        <v>31160</v>
      </c>
      <c r="AU5" s="21">
        <f>QUARTILE(LISTE!AU:AU,3)</f>
        <v>23748.75</v>
      </c>
      <c r="AV5" s="21">
        <f>QUARTILE(LISTE!AV:AV,3)</f>
        <v>2396322.75</v>
      </c>
      <c r="AW5" s="21">
        <f>QUARTILE(LISTE!AW:AW,3)</f>
        <v>1600083.5</v>
      </c>
      <c r="AX5" s="21">
        <f>QUARTILE(LISTE!AX:AX,3)</f>
        <v>20519494</v>
      </c>
      <c r="AY5" s="21" t="e">
        <f>QUARTILE(LISTE!AY:AY,3)</f>
        <v>#NUM!</v>
      </c>
      <c r="AZ5" s="21">
        <f>QUARTILE(LISTE!AZ:AZ,3)</f>
        <v>579104.5</v>
      </c>
      <c r="BA5" s="21">
        <f>QUARTILE(LISTE!BA:BA,3)</f>
        <v>581815.5</v>
      </c>
      <c r="BB5" s="21">
        <f>QUARTILE(LISTE!BB:BB,3)</f>
        <v>561935</v>
      </c>
      <c r="BC5" s="21">
        <f>QUARTILE(LISTE!BC:BC,3)</f>
        <v>385107.5</v>
      </c>
      <c r="BD5" s="21">
        <f>QUARTILE(LISTE!BD:BD,3)</f>
        <v>15794837</v>
      </c>
      <c r="BE5" s="21">
        <f>QUARTILE(LISTE!BE:BE,3)</f>
        <v>15369574</v>
      </c>
      <c r="BF5" s="21">
        <f>QUARTILE(LISTE!BF:BF,3)</f>
        <v>12044199.25</v>
      </c>
      <c r="BG5" s="21">
        <f>QUARTILE(LISTE!BG:BG,3)</f>
        <v>509414</v>
      </c>
      <c r="BH5" s="21">
        <f>QUARTILE(LISTE!BH:BH,3)</f>
        <v>97206.5</v>
      </c>
      <c r="BI5" s="21">
        <f>QUARTILE(LISTE!BI:BI,3)</f>
        <v>78833.25</v>
      </c>
      <c r="BJ5" s="21">
        <f>QUARTILE(LISTE!BJ:BJ,3)</f>
        <v>567547.75</v>
      </c>
      <c r="BK5" s="21">
        <f>QUARTILE(LISTE!BK:BK,3)</f>
        <v>11830673.5</v>
      </c>
      <c r="BL5" s="21">
        <f>QUARTILE(LISTE!BL:BL,3)</f>
        <v>11910259.5</v>
      </c>
      <c r="BM5" s="21">
        <f>QUARTILE(LISTE!BM:BM,3)</f>
        <v>12145409</v>
      </c>
      <c r="BN5" s="21">
        <f>QUARTILE(LISTE!BN:BN,3)</f>
        <v>21489143.25</v>
      </c>
      <c r="BO5" s="21">
        <f>QUARTILE(LISTE!BO:BO,3)</f>
        <v>208097.5</v>
      </c>
      <c r="BP5" s="21">
        <f>QUARTILE(LISTE!BP:BP,3)</f>
        <v>454758</v>
      </c>
      <c r="BQ5" s="21">
        <f>QUARTILE(LISTE!BQ:BQ,3)</f>
        <v>408974</v>
      </c>
      <c r="BR5" s="21">
        <f>QUARTILE(LISTE!BR:BR,3)</f>
        <v>313877.25</v>
      </c>
      <c r="BS5" s="21" t="e">
        <f>QUARTILE(LISTE!BS:BS,3)</f>
        <v>#NUM!</v>
      </c>
      <c r="BT5" s="21" t="e">
        <f>QUARTILE(LISTE!BT:BT,3)</f>
        <v>#NUM!</v>
      </c>
      <c r="BU5" s="21" t="e">
        <f>QUARTILE(LISTE!BU:BU,3)</f>
        <v>#NUM!</v>
      </c>
      <c r="BV5" s="21" t="e">
        <f>QUARTILE(LISTE!BV:BV,3)</f>
        <v>#NUM!</v>
      </c>
      <c r="BW5" s="21" t="e">
        <f>QUARTILE(LISTE!BW:BW,3)</f>
        <v>#NUM!</v>
      </c>
      <c r="BX5" s="21">
        <f>QUARTILE(LISTE!BX:BX,3)</f>
        <v>5702805.25</v>
      </c>
      <c r="BY5" s="21">
        <f>QUARTILE(LISTE!BY:BY,3)</f>
        <v>5212259.5</v>
      </c>
      <c r="BZ5" s="21">
        <f>QUARTILE(LISTE!BZ:BZ,3)</f>
        <v>5041201</v>
      </c>
      <c r="CA5" s="21">
        <f>QUARTILE(LISTE!CA:CA,3)</f>
        <v>970.25</v>
      </c>
      <c r="CB5" s="21">
        <f>QUARTILE(LISTE!CB:CB,3)</f>
        <v>178.5</v>
      </c>
      <c r="CC5" s="21">
        <f>QUARTILE(LISTE!CC:CC,3)</f>
        <v>3200</v>
      </c>
      <c r="CD5" s="21">
        <f>QUARTILE(LISTE!CD:CD,3)</f>
        <v>4140439.25</v>
      </c>
      <c r="CE5" s="21">
        <f>QUARTILE(LISTE!CE:CE,3)</f>
        <v>10079319.5</v>
      </c>
      <c r="CF5" s="21">
        <f>QUARTILE(LISTE!CF:CF,3)</f>
        <v>7362100.5</v>
      </c>
      <c r="CG5" s="21">
        <f>QUARTILE(LISTE!CG:CG,3)</f>
        <v>11212994</v>
      </c>
      <c r="CH5" s="21">
        <f>QUARTILE(LISTE!CH:CH,3)</f>
        <v>100597</v>
      </c>
      <c r="CI5" s="21">
        <f>QUARTILE(LISTE!CI:CI,3)</f>
        <v>1593563</v>
      </c>
      <c r="CJ5" s="21">
        <f>QUARTILE(LISTE!CJ:CJ,3)</f>
        <v>1667400</v>
      </c>
      <c r="CK5" s="21">
        <f>QUARTILE(LISTE!CK:CK,3)</f>
        <v>1198365.5</v>
      </c>
      <c r="CL5" s="21" t="e">
        <f>QUARTILE(LISTE!CL:CL,3)</f>
        <v>#NUM!</v>
      </c>
      <c r="CM5" s="21">
        <f>QUARTILE(LISTE!CM:CM,3)</f>
        <v>73464.75</v>
      </c>
      <c r="CN5" s="21">
        <f>QUARTILE(LISTE!CN:CN,3)</f>
        <v>87643.25</v>
      </c>
      <c r="CO5" s="21">
        <f>QUARTILE(LISTE!CO:CO,3)</f>
        <v>263726.75</v>
      </c>
      <c r="CP5" s="21">
        <f>QUARTILE(LISTE!CP:CP,3)</f>
        <v>593818</v>
      </c>
      <c r="CQ5" s="21">
        <f>QUARTILE(LISTE!CQ:CQ,3)</f>
        <v>2600842.5</v>
      </c>
      <c r="CR5" s="21">
        <f>QUARTILE(LISTE!CR:CR,3)</f>
        <v>4838658.25</v>
      </c>
      <c r="CS5" s="21">
        <f>QUARTILE(LISTE!CS:CS,3)</f>
        <v>3694108</v>
      </c>
      <c r="CT5" s="21">
        <f>QUARTILE(LISTE!CT:CT,3)</f>
        <v>226069</v>
      </c>
      <c r="CU5" s="21">
        <f>QUARTILE(LISTE!CU:CU,3)</f>
        <v>389691</v>
      </c>
      <c r="CV5" s="21">
        <f>QUARTILE(LISTE!CV:CV,3)</f>
        <v>218309</v>
      </c>
      <c r="CW5" s="21">
        <f>QUARTILE(LISTE!CW:CW,3)</f>
        <v>383191</v>
      </c>
      <c r="CX5" s="21">
        <f>QUARTILE(LISTE!CX:CX,3)</f>
        <v>34322</v>
      </c>
      <c r="CY5" s="21">
        <f>QUARTILE(LISTE!CY:CY,3)</f>
        <v>245593</v>
      </c>
      <c r="CZ5" s="21">
        <f>QUARTILE(LISTE!CZ:CZ,3)</f>
        <v>249119.5</v>
      </c>
      <c r="DA5" s="21">
        <f>QUARTILE(LISTE!DA:DA,3)</f>
        <v>56933</v>
      </c>
      <c r="DB5" s="21">
        <f>QUARTILE(LISTE!DB:DB,3)</f>
        <v>38688</v>
      </c>
      <c r="DC5" s="21">
        <f>QUARTILE(LISTE!DC:DC,3)</f>
        <v>947940.75</v>
      </c>
      <c r="DD5" s="21">
        <f>QUARTILE(LISTE!DD:DD,3)</f>
        <v>1178593</v>
      </c>
      <c r="DE5" s="21">
        <f>QUARTILE(LISTE!DE:DE,3)</f>
        <v>762902.75</v>
      </c>
      <c r="DF5" s="21">
        <f>QUARTILE(LISTE!DF:DF,3)</f>
        <v>6079526.5</v>
      </c>
      <c r="DG5" s="21">
        <f>QUARTILE(LISTE!DG:DG,3)</f>
        <v>2253814</v>
      </c>
      <c r="DH5" s="21">
        <f>QUARTILE(LISTE!DH:DH,3)</f>
        <v>2163402</v>
      </c>
      <c r="DI5" s="21">
        <f>QUARTILE(LISTE!DI:DI,3)</f>
        <v>7343814</v>
      </c>
      <c r="DJ5" s="21">
        <f>QUARTILE(LISTE!DJ:DJ,3)</f>
        <v>594862.75</v>
      </c>
      <c r="DK5" s="21">
        <f>QUARTILE(LISTE!DK:DK,3)</f>
        <v>10879342</v>
      </c>
      <c r="DL5" s="21">
        <f>QUARTILE(LISTE!DL:DL,3)</f>
        <v>11159293</v>
      </c>
      <c r="DM5" s="21">
        <f>QUARTILE(LISTE!DM:DM,3)</f>
        <v>11276353.75</v>
      </c>
      <c r="DN5" s="21">
        <f>QUARTILE(LISTE!DN:DN,3)</f>
        <v>128691.75</v>
      </c>
      <c r="DO5" s="21">
        <f>QUARTILE(LISTE!DO:DO,3)</f>
        <v>1071341.75</v>
      </c>
      <c r="DP5" s="21">
        <f>QUARTILE(LISTE!DP:DP,3)</f>
        <v>963183</v>
      </c>
      <c r="DQ5" s="21">
        <f>QUARTILE(LISTE!DQ:DQ,3)</f>
        <v>747655</v>
      </c>
      <c r="DR5" s="21">
        <f>QUARTILE(LISTE!DR:DR,3)</f>
        <v>746553.5</v>
      </c>
      <c r="DS5" s="21">
        <f>QUARTILE(LISTE!DS:DS,3)</f>
        <v>1996677.5</v>
      </c>
      <c r="DT5" s="21">
        <f>QUARTILE(LISTE!DT:DT,3)</f>
        <v>2438696.5</v>
      </c>
      <c r="DU5" s="21">
        <f>QUARTILE(LISTE!DU:DU,3)</f>
        <v>1156120</v>
      </c>
      <c r="DV5" s="21">
        <f>QUARTILE(LISTE!DV:DV,3)</f>
        <v>924793.5</v>
      </c>
      <c r="DW5" s="21">
        <f>QUARTILE(LISTE!DW:DW,3)</f>
        <v>187933</v>
      </c>
      <c r="DX5" s="21">
        <f>QUARTILE(LISTE!DX:DX,3)</f>
        <v>242012.75</v>
      </c>
      <c r="DY5" s="21">
        <f>QUARTILE(LISTE!DY:DY,3)</f>
        <v>281502.25</v>
      </c>
      <c r="DZ5" s="21">
        <f>QUARTILE(LISTE!DZ:DZ,3)</f>
        <v>164781</v>
      </c>
      <c r="EA5" s="21">
        <f>QUARTILE(LISTE!EA:EA,3)</f>
        <v>471024</v>
      </c>
      <c r="EB5" s="21">
        <f>QUARTILE(LISTE!EB:EB,3)</f>
        <v>164781</v>
      </c>
      <c r="EC5" s="21">
        <f>QUARTILE(LISTE!EC:EC,3)</f>
        <v>578569</v>
      </c>
      <c r="ED5" s="21">
        <f>QUARTILE(LISTE!ED:ED,3)</f>
        <v>4908747.5</v>
      </c>
      <c r="EE5" s="21">
        <f>QUARTILE(LISTE!EE:EE,3)</f>
        <v>6572220</v>
      </c>
      <c r="EF5" s="21">
        <f>QUARTILE(LISTE!EF:EF,3)</f>
        <v>2295699.25</v>
      </c>
      <c r="EG5" s="21">
        <f>QUARTILE(LISTE!EG:EG,3)</f>
        <v>22849024.75</v>
      </c>
      <c r="EH5" s="21">
        <f>QUARTILE(LISTE!EH:EH,3)</f>
        <v>130284138</v>
      </c>
      <c r="EI5" s="21">
        <f>QUARTILE(LISTE!EI:EI,3)</f>
        <v>109556346</v>
      </c>
      <c r="EJ5" s="21">
        <f>QUARTILE(LISTE!EJ:EJ,3)</f>
        <v>93150000</v>
      </c>
      <c r="EK5" s="21">
        <f>QUARTILE(LISTE!EK:EK,3)</f>
        <v>24312750</v>
      </c>
      <c r="EL5" s="21">
        <f>QUARTILE(LISTE!EL:EL,3)</f>
        <v>37562616</v>
      </c>
      <c r="EM5" s="21">
        <f>QUARTILE(LISTE!EM:EM,3)</f>
        <v>38104075</v>
      </c>
      <c r="EN5" s="21">
        <f>QUARTILE(LISTE!EN:EN,3)</f>
        <v>51345308.25</v>
      </c>
      <c r="EO5" s="21">
        <f>QUARTILE(LISTE!EO:EO,3)</f>
        <v>1163291.5</v>
      </c>
      <c r="EP5" s="21">
        <f>QUARTILE(LISTE!EP:EP,3)</f>
        <v>50787208.25</v>
      </c>
      <c r="EQ5" s="21">
        <f>QUARTILE(LISTE!EQ:EQ,3)</f>
        <v>49983000</v>
      </c>
      <c r="ER5" s="21">
        <f>QUARTILE(LISTE!ER:ER,3)</f>
        <v>37138132.75</v>
      </c>
      <c r="ES5" s="21">
        <f>QUARTILE(LISTE!ES:ES,3)</f>
        <v>25270645.25</v>
      </c>
      <c r="ET5" s="21">
        <f>QUARTILE(LISTE!ET:ET,3)</f>
        <v>84439524</v>
      </c>
      <c r="EU5" s="21">
        <f>QUARTILE(LISTE!EU:EU,3)</f>
        <v>80351614</v>
      </c>
      <c r="EV5" s="21">
        <f>QUARTILE(LISTE!EV:EV,3)</f>
        <v>92268840.5</v>
      </c>
      <c r="EW5" s="21">
        <f>QUARTILE(LISTE!EW:EW,3)</f>
        <v>763989.5</v>
      </c>
      <c r="EX5" s="21">
        <f>QUARTILE(LISTE!EX:EX,3)</f>
        <v>3563834.5</v>
      </c>
      <c r="EY5" s="21">
        <f>QUARTILE(LISTE!EY:EY,3)</f>
        <v>3464642.25</v>
      </c>
      <c r="EZ5" s="21">
        <f>QUARTILE(LISTE!EZ:EZ,3)</f>
        <v>4398987</v>
      </c>
      <c r="FA5" s="21">
        <f>QUARTILE(LISTE!FA:FA,3)</f>
        <v>33909185</v>
      </c>
      <c r="FB5" s="21">
        <f>QUARTILE(LISTE!FB:FB,3)</f>
        <v>907500</v>
      </c>
      <c r="FC5" s="21">
        <f>QUARTILE(LISTE!FC:FC,3)</f>
        <v>1237500</v>
      </c>
      <c r="FD5" s="21">
        <f>QUARTILE(LISTE!FD:FD,3)</f>
        <v>1872423.5</v>
      </c>
      <c r="FE5" s="21">
        <f>QUARTILE(LISTE!FE:FE,3)</f>
        <v>23966</v>
      </c>
      <c r="FF5" s="21">
        <f>QUARTILE(LISTE!FF:FF,3)</f>
        <v>3957925</v>
      </c>
      <c r="FG5" s="21">
        <f>QUARTILE(LISTE!FG:FG,3)</f>
        <v>3328040.5</v>
      </c>
      <c r="FH5" s="21">
        <f>QUARTILE(LISTE!FH:FH,3)</f>
        <v>3335698.75</v>
      </c>
      <c r="FI5" s="21">
        <f>QUARTILE(LISTE!FI:FI,3)</f>
        <v>126032</v>
      </c>
      <c r="FJ5" s="21">
        <f>QUARTILE(LISTE!FJ:FJ,3)</f>
        <v>106216</v>
      </c>
      <c r="FK5" s="21">
        <f>QUARTILE(LISTE!FK:FK,3)</f>
        <v>2667529.25</v>
      </c>
      <c r="FL5" s="21">
        <f>QUARTILE(LISTE!FL:FL,3)</f>
        <v>4156364.5</v>
      </c>
      <c r="FM5" s="21">
        <f>QUARTILE(LISTE!FM:FM,3)</f>
        <v>188390.75</v>
      </c>
      <c r="FN5" s="21">
        <f>QUARTILE(LISTE!FN:FN,3)</f>
        <v>237167.75</v>
      </c>
      <c r="FO5" s="21">
        <f>QUARTILE(LISTE!FO:FO,3)</f>
        <v>285702.5</v>
      </c>
      <c r="FP5" s="21">
        <f>QUARTILE(LISTE!FP:FP,3)</f>
        <v>259209.5</v>
      </c>
      <c r="FQ5" s="21">
        <f>QUARTILE(LISTE!FQ:FQ,3)</f>
        <v>187235</v>
      </c>
      <c r="FR5" s="21">
        <f>QUARTILE(LISTE!FR:FR,3)</f>
        <v>210717</v>
      </c>
      <c r="FS5" s="21">
        <f>QUARTILE(LISTE!FS:FS,3)</f>
        <v>250000</v>
      </c>
      <c r="FT5" s="21">
        <f>QUARTILE(LISTE!FT:FT,3)</f>
        <v>251263</v>
      </c>
      <c r="FU5" s="21">
        <f>QUARTILE(LISTE!FU:FU,3)</f>
        <v>36000</v>
      </c>
      <c r="FV5" s="21">
        <f>QUARTILE(LISTE!FV:FV,3)</f>
        <v>31959.5</v>
      </c>
      <c r="FW5" s="21">
        <f>QUARTILE(LISTE!FW:FW,3)</f>
        <v>583854.5</v>
      </c>
      <c r="FX5" s="21">
        <f>QUARTILE(LISTE!FX:FX,3)</f>
        <v>589922</v>
      </c>
      <c r="FY5" s="21">
        <f>QUARTILE(LISTE!FY:FY,3)</f>
        <v>102354</v>
      </c>
      <c r="FZ5" s="21">
        <f>QUARTILE(LISTE!FZ:FZ,3)</f>
        <v>99085</v>
      </c>
      <c r="GA5" s="21">
        <f>QUARTILE(LISTE!GA:GA,3)</f>
        <v>373874.25</v>
      </c>
      <c r="GB5" s="21">
        <f>QUARTILE(LISTE!GB:GB,3)</f>
        <v>415203.5</v>
      </c>
      <c r="GC5" s="21">
        <f>QUARTILE(LISTE!GC:GC,3)</f>
        <v>119835</v>
      </c>
      <c r="GD5" s="21">
        <f>QUARTILE(LISTE!GD:GD,3)</f>
        <v>201775.25</v>
      </c>
      <c r="GE5" s="21">
        <f>QUARTILE(LISTE!GE:GE,3)</f>
        <v>548298</v>
      </c>
      <c r="GF5" s="21">
        <f>QUARTILE(LISTE!GF:GF,3)</f>
        <v>383601</v>
      </c>
      <c r="GG5" s="21">
        <f>QUARTILE(LISTE!GG:GG,3)</f>
        <v>-14895000</v>
      </c>
      <c r="GH5" s="21">
        <f>QUARTILE(LISTE!GH:GH,3)</f>
        <v>-8088000</v>
      </c>
      <c r="GI5" s="21" t="e">
        <f>QUARTILE(LISTE!GI:GI,3)</f>
        <v>#NUM!</v>
      </c>
      <c r="GJ5" s="21">
        <f>QUARTILE(LISTE!GJ:GJ,3)</f>
        <v>-3075</v>
      </c>
      <c r="GK5" s="21">
        <f>QUARTILE(LISTE!GK:GK,3)</f>
        <v>258069</v>
      </c>
      <c r="GL5" s="21">
        <f>QUARTILE(LISTE!GL:GL,3)</f>
        <v>242615.25</v>
      </c>
      <c r="GM5" s="21">
        <f>QUARTILE(LISTE!GM:GM,3)</f>
        <v>2617537.75</v>
      </c>
      <c r="GN5" s="21">
        <f>QUARTILE(LISTE!GN:GN,3)</f>
        <v>2599015</v>
      </c>
      <c r="GO5" s="21">
        <f>QUARTILE(LISTE!GO:GO,3)</f>
        <v>2283197</v>
      </c>
      <c r="GP5" s="21">
        <f>QUARTILE(LISTE!GP:GP,3)</f>
        <v>2540268.5</v>
      </c>
      <c r="GQ5" s="21">
        <f>QUARTILE(LISTE!GQ:GQ,3)</f>
        <v>62250</v>
      </c>
      <c r="GR5" s="21">
        <f>QUARTILE(LISTE!GR:GR,3)</f>
        <v>131948</v>
      </c>
      <c r="GS5" s="21">
        <f>QUARTILE(LISTE!GS:GS,3)</f>
        <v>2280636</v>
      </c>
      <c r="GT5" s="21">
        <f>QUARTILE(LISTE!GT:GT,3)</f>
        <v>2101352</v>
      </c>
      <c r="GU5" s="21">
        <f>QUARTILE(LISTE!GU:GU,3)</f>
        <v>499041.5</v>
      </c>
      <c r="GV5" s="21">
        <f>QUARTILE(LISTE!GV:GV,3)</f>
        <v>442906</v>
      </c>
      <c r="GW5" s="21">
        <f>QUARTILE(LISTE!GW:GW,3)</f>
        <v>482136.25</v>
      </c>
      <c r="GX5" s="21">
        <f>QUARTILE(LISTE!GX:GX,3)</f>
        <v>591473.5</v>
      </c>
      <c r="GY5" s="21">
        <f>QUARTILE(LISTE!GY:GY,3)</f>
        <v>69231786.5</v>
      </c>
      <c r="GZ5" s="21">
        <f>QUARTILE(LISTE!GZ:GZ,3)</f>
        <v>73064684.25</v>
      </c>
      <c r="HA5" s="21">
        <f>QUARTILE(LISTE!HA:HA,3)</f>
        <v>9630619.5</v>
      </c>
      <c r="HB5" s="21">
        <f>QUARTILE(LISTE!HB:HB,3)</f>
        <v>9473412</v>
      </c>
      <c r="HC5" s="21">
        <f>QUARTILE(LISTE!HC:HC,3)</f>
        <v>11096672</v>
      </c>
      <c r="HD5" s="21">
        <f>QUARTILE(LISTE!HD:HD,3)</f>
        <v>11022983.75</v>
      </c>
      <c r="HE5" s="21">
        <f>QUARTILE(LISTE!HE:HE,3)</f>
        <v>614833.5</v>
      </c>
      <c r="HF5" s="21">
        <f>QUARTILE(LISTE!HF:HF,3)</f>
        <v>609277.25</v>
      </c>
      <c r="HG5" s="21">
        <f>QUARTILE(LISTE!HG:HG,3)</f>
        <v>144490.25</v>
      </c>
      <c r="HH5" s="21">
        <f>QUARTILE(LISTE!HH:HH,3)</f>
        <v>157847.5</v>
      </c>
      <c r="HI5" s="21">
        <f>QUARTILE(LISTE!HI:HI,3)</f>
        <v>722192.5</v>
      </c>
      <c r="HJ5" s="21">
        <f>QUARTILE(LISTE!HJ:HJ,3)</f>
        <v>831691</v>
      </c>
      <c r="HK5" s="21">
        <f>QUARTILE(LISTE!HK:HK,3)</f>
        <v>47819</v>
      </c>
      <c r="HL5" s="21">
        <f>QUARTILE(LISTE!HL:HL,3)</f>
        <v>67585</v>
      </c>
      <c r="HM5" s="21">
        <f>QUARTILE(LISTE!HM:HM,3)</f>
        <v>879</v>
      </c>
      <c r="HN5" s="21">
        <f>QUARTILE(LISTE!HN:HN,3)</f>
        <v>3249</v>
      </c>
      <c r="HO5" s="21">
        <f>QUARTILE(LISTE!HO:HO,3)</f>
        <v>4671181</v>
      </c>
      <c r="HP5" s="21">
        <f>QUARTILE(LISTE!HP:HP,3)</f>
        <v>4468455.5</v>
      </c>
      <c r="HQ5" s="21">
        <f>QUARTILE(LISTE!HQ:HQ,3)</f>
        <v>134293</v>
      </c>
      <c r="HR5" s="21">
        <f>QUARTILE(LISTE!HR:HR,3)</f>
        <v>114409.5</v>
      </c>
      <c r="HS5" s="21">
        <f>QUARTILE(LISTE!HS:HS,3)</f>
        <v>183608.5</v>
      </c>
      <c r="HT5" s="21">
        <f>QUARTILE(LISTE!HT:HT,3)</f>
        <v>205691.5</v>
      </c>
      <c r="HU5" s="21">
        <f>QUARTILE(LISTE!HU:HU,3)</f>
        <v>2109349.5</v>
      </c>
      <c r="HV5" s="21">
        <f>QUARTILE(LISTE!HV:HV,3)</f>
        <v>2100424</v>
      </c>
      <c r="HW5" s="21">
        <f>QUARTILE(LISTE!HW:HW,3)</f>
        <v>155136</v>
      </c>
      <c r="HX5" s="21">
        <f>QUARTILE(LISTE!HX:HX,3)</f>
        <v>235931</v>
      </c>
      <c r="HY5" s="21">
        <f>QUARTILE(LISTE!HY:HY,3)</f>
        <v>275884.5</v>
      </c>
      <c r="HZ5" s="21">
        <f>QUARTILE(LISTE!HZ:HZ,3)</f>
        <v>381579.25</v>
      </c>
      <c r="IA5" s="21">
        <f>QUARTILE(LISTE!IA:IA,3)</f>
        <v>536968</v>
      </c>
      <c r="IB5" s="21">
        <f>QUARTILE(LISTE!IB:IB,3)</f>
        <v>760839.25</v>
      </c>
      <c r="IC5" s="21">
        <f>QUARTILE(LISTE!IC:IC,3)</f>
        <v>84022</v>
      </c>
      <c r="ID5" s="21">
        <f>QUARTILE(LISTE!ID:ID,3)</f>
        <v>169263</v>
      </c>
      <c r="IE5" s="21">
        <f>QUARTILE(LISTE!IE:IE,3)</f>
        <v>1400376</v>
      </c>
      <c r="IF5" s="21">
        <f>QUARTILE(LISTE!IF:IF,3)</f>
        <v>1371183.25</v>
      </c>
      <c r="IG5" s="21">
        <f>QUARTILE(LISTE!IG:IG,3)</f>
        <v>536492</v>
      </c>
      <c r="IH5" s="21">
        <f>QUARTILE(LISTE!IH:IH,3)</f>
        <v>507861</v>
      </c>
      <c r="II5" s="21">
        <f>QUARTILE(LISTE!II:II,3)</f>
        <v>40875.75</v>
      </c>
      <c r="IJ5" s="21">
        <f>QUARTILE(LISTE!IJ:IJ,3)</f>
        <v>45073</v>
      </c>
      <c r="IK5" s="21">
        <f>QUARTILE(LISTE!IK:IK,3)</f>
        <v>693284</v>
      </c>
      <c r="IL5" s="21">
        <f>QUARTILE(LISTE!IL:IL,3)</f>
        <v>293605.75</v>
      </c>
      <c r="IM5" s="21">
        <f>QUARTILE(LISTE!IM:IM,3)</f>
        <v>272465.5</v>
      </c>
      <c r="IN5" s="21">
        <f>QUARTILE(LISTE!IN:IN,3)</f>
        <v>618707</v>
      </c>
      <c r="IO5" s="21">
        <f>QUARTILE(LISTE!IO:IO,3)</f>
        <v>26549</v>
      </c>
      <c r="IP5" s="21">
        <f>QUARTILE(LISTE!IP:IP,3)</f>
        <v>13635</v>
      </c>
      <c r="IQ5" s="21">
        <f>QUARTILE(LISTE!IQ:IQ,3)</f>
        <v>46889</v>
      </c>
      <c r="IR5" s="21">
        <f>QUARTILE(LISTE!IR:IR,3)</f>
        <v>20474</v>
      </c>
      <c r="IS5" s="21">
        <f>QUARTILE(LISTE!IS:IS,3)</f>
        <v>23913.5</v>
      </c>
      <c r="IT5" s="21">
        <f>QUARTILE(LISTE!IT:IT,3)</f>
        <v>10580</v>
      </c>
      <c r="IU5" s="21">
        <f>QUARTILE(LISTE!IU:IU,3)</f>
        <v>4008239.5</v>
      </c>
      <c r="IV5" s="21">
        <f>QUARTILE(LISTE!IV:IV,3)</f>
        <v>3593433.5</v>
      </c>
      <c r="IW5" s="21">
        <f>QUARTILE(LISTE!IW:IW,3)</f>
        <v>4070738.5</v>
      </c>
      <c r="IX5" s="21">
        <f>QUARTILE(LISTE!IX:IX,3)</f>
        <v>3489165.25</v>
      </c>
      <c r="IY5" s="21">
        <f>QUARTILE(LISTE!IY:IY,3)</f>
        <v>-195</v>
      </c>
      <c r="IZ5" s="21">
        <f>QUARTILE(LISTE!IZ:IZ,3)</f>
        <v>-12000</v>
      </c>
      <c r="JA5" s="21">
        <f>QUARTILE(LISTE!JA:JA,3)</f>
        <v>1217287.75</v>
      </c>
      <c r="JB5" s="21">
        <f>QUARTILE(LISTE!JB:JB,3)</f>
        <v>1043000</v>
      </c>
      <c r="JC5" s="21">
        <f>QUARTILE(LISTE!JC:JC,3)</f>
        <v>157861</v>
      </c>
      <c r="JD5" s="21">
        <f>QUARTILE(LISTE!JD:JD,3)</f>
        <v>80971.5</v>
      </c>
      <c r="JE5" s="21">
        <f>QUARTILE(LISTE!JE:JE,3)</f>
        <v>11289395</v>
      </c>
      <c r="JF5" s="21">
        <f>QUARTILE(LISTE!JF:JF,3)</f>
        <v>10768000</v>
      </c>
      <c r="JG5" s="21">
        <f>QUARTILE(LISTE!JG:JG,3)</f>
        <v>69225.5</v>
      </c>
      <c r="JH5" s="21">
        <f>QUARTILE(LISTE!JH:JH,3)</f>
        <v>54388</v>
      </c>
      <c r="JI5" s="21">
        <f>QUARTILE(LISTE!JI:JI,3)</f>
        <v>96927244</v>
      </c>
      <c r="JJ5" s="21">
        <f>QUARTILE(LISTE!JJ:JJ,3)</f>
        <v>96733436.25</v>
      </c>
      <c r="JK5" s="21">
        <f>QUARTILE(LISTE!JK:JK,3)</f>
        <v>518056</v>
      </c>
      <c r="JL5" s="21">
        <f>QUARTILE(LISTE!JL:JL,3)</f>
        <v>546500</v>
      </c>
      <c r="JM5" s="21">
        <f>QUARTILE(LISTE!JM:JM,3)</f>
        <v>98001677</v>
      </c>
      <c r="JN5" s="21">
        <f>QUARTILE(LISTE!JN:JN,3)</f>
        <v>95365129</v>
      </c>
      <c r="JO5" s="21">
        <f>QUARTILE(LISTE!JO:JO,3)</f>
        <v>296930</v>
      </c>
      <c r="JP5" s="21">
        <f>QUARTILE(LISTE!JP:JP,3)</f>
        <v>376210.5</v>
      </c>
      <c r="JQ5" s="21">
        <f>QUARTILE(LISTE!JQ:JQ,3)</f>
        <v>466048.5</v>
      </c>
      <c r="JR5" s="21">
        <f>QUARTILE(LISTE!JR:JR,3)</f>
        <v>115591.5</v>
      </c>
      <c r="JS5" s="21">
        <f>QUARTILE(LISTE!JS:JS,3)</f>
        <v>14153</v>
      </c>
      <c r="JT5" s="21">
        <f>QUARTILE(LISTE!JT:JT,3)</f>
        <v>47057.75</v>
      </c>
      <c r="JU5" s="21">
        <f>QUARTILE(LISTE!JU:JU,3)</f>
        <v>22317007.75</v>
      </c>
      <c r="JV5" s="21">
        <f>QUARTILE(LISTE!JV:JV,3)</f>
        <v>117236910</v>
      </c>
      <c r="JW5" s="21">
        <f>QUARTILE(LISTE!JW:JW,3)</f>
        <v>120545000</v>
      </c>
      <c r="JX5" s="21">
        <f>QUARTILE(LISTE!JX:JX,3)</f>
        <v>117248462</v>
      </c>
      <c r="JY5" s="21">
        <f>QUARTILE(LISTE!JY:JY,3)</f>
        <v>2870291</v>
      </c>
      <c r="JZ5" s="21">
        <f>QUARTILE(LISTE!JZ:JZ,3)</f>
        <v>15748240.5</v>
      </c>
      <c r="KA5" s="21">
        <f>QUARTILE(LISTE!KA:KA,3)</f>
        <v>21361721</v>
      </c>
      <c r="KB5" s="21">
        <f>QUARTILE(LISTE!KB:KB,3)</f>
        <v>23429187.5</v>
      </c>
      <c r="KC5" s="21">
        <f>QUARTILE(LISTE!KC:KC,3)</f>
        <v>141856</v>
      </c>
      <c r="KD5" s="21">
        <f>QUARTILE(LISTE!KD:KD,3)</f>
        <v>9218827.5</v>
      </c>
      <c r="KE5" s="21">
        <f>QUARTILE(LISTE!KE:KE,3)</f>
        <v>8079473.5</v>
      </c>
      <c r="KF5" s="21">
        <f>QUARTILE(LISTE!KF:KF,3)</f>
        <v>5186406</v>
      </c>
      <c r="KG5" s="21">
        <f>QUARTILE(LISTE!KG:KG,3)</f>
        <v>21786098.25</v>
      </c>
      <c r="KH5" s="21">
        <f>QUARTILE(LISTE!KH:KH,3)</f>
        <v>131865201.75</v>
      </c>
      <c r="KI5" s="21">
        <f>QUARTILE(LISTE!KI:KI,3)</f>
        <v>96068512.75</v>
      </c>
      <c r="KJ5" s="21">
        <f>QUARTILE(LISTE!KJ:KJ,3)</f>
        <v>97403608</v>
      </c>
      <c r="KK5" s="21">
        <f>QUARTILE(LISTE!KK:KK,3)</f>
        <v>168913.75</v>
      </c>
      <c r="KL5" s="21">
        <f>QUARTILE(LISTE!KL:KL,3)</f>
        <v>201139.25</v>
      </c>
      <c r="KM5" s="21">
        <f>QUARTILE(LISTE!KM:KM,3)</f>
        <v>310000</v>
      </c>
      <c r="KN5" s="21">
        <f>QUARTILE(LISTE!KN:KN,3)</f>
        <v>310000</v>
      </c>
      <c r="KO5" s="21" t="e">
        <f>QUARTILE(LISTE!KO:KO,3)</f>
        <v>#NUM!</v>
      </c>
      <c r="KP5" s="21" t="e">
        <f>QUARTILE(LISTE!KP:KP,3)</f>
        <v>#NUM!</v>
      </c>
      <c r="KQ5" s="21">
        <f>QUARTILE(LISTE!KQ:KQ,3)</f>
        <v>3589484.75</v>
      </c>
      <c r="KR5" s="21">
        <f>QUARTILE(LISTE!KR:KR,3)</f>
        <v>3902762.5</v>
      </c>
      <c r="KS5" s="21">
        <f>QUARTILE(LISTE!KS:KS,3)</f>
        <v>7362180.75</v>
      </c>
      <c r="KT5" s="21">
        <f>QUARTILE(LISTE!KT:KT,3)</f>
        <v>2482470.5</v>
      </c>
      <c r="KU5" s="21">
        <f>QUARTILE(LISTE!KU:KU,3)</f>
        <v>12353426</v>
      </c>
      <c r="KV5" s="21">
        <f>QUARTILE(LISTE!KV:KV,3)</f>
        <v>11225417.5</v>
      </c>
      <c r="KW5" s="21">
        <f>QUARTILE(LISTE!KW:KW,3)</f>
        <v>25199.75</v>
      </c>
      <c r="KX5" s="21">
        <f>QUARTILE(LISTE!KX:KX,3)</f>
        <v>6431</v>
      </c>
      <c r="KY5" s="21">
        <f>QUARTILE(LISTE!KY:KY,3)</f>
        <v>740423.5</v>
      </c>
      <c r="KZ5" s="21">
        <f>QUARTILE(LISTE!KZ:KZ,3)</f>
        <v>650612</v>
      </c>
      <c r="LA5" s="21">
        <f>QUARTILE(LISTE!LA:LA,3)</f>
        <v>8672000</v>
      </c>
      <c r="LB5" s="21">
        <f>QUARTILE(LISTE!LB:LB,3)</f>
        <v>8190750</v>
      </c>
      <c r="LC5" s="21">
        <f>QUARTILE(LISTE!LC:LC,3)</f>
        <v>780321</v>
      </c>
      <c r="LD5" s="21">
        <f>QUARTILE(LISTE!LD:LD,3)</f>
        <v>327500</v>
      </c>
      <c r="LE5" s="21">
        <f>QUARTILE(LISTE!LE:LE,3)</f>
        <v>117654.5</v>
      </c>
      <c r="LF5" s="21">
        <f>QUARTILE(LISTE!LF:LF,3)</f>
        <v>93906.5</v>
      </c>
      <c r="LG5" s="21">
        <f>QUARTILE(LISTE!LG:LG,3)</f>
        <v>8404839</v>
      </c>
      <c r="LH5" s="21">
        <f>QUARTILE(LISTE!LH:LH,3)</f>
        <v>9175915</v>
      </c>
      <c r="LI5" s="21">
        <f>QUARTILE(LISTE!LI:LI,3)</f>
        <v>5472455.5</v>
      </c>
      <c r="LJ5" s="21">
        <f>QUARTILE(LISTE!LJ:LJ,3)</f>
        <v>5197634.75</v>
      </c>
      <c r="LK5" s="21">
        <f>QUARTILE(LISTE!LK:LK,3)</f>
        <v>10938886.25</v>
      </c>
      <c r="LL5" s="21">
        <f>QUARTILE(LISTE!LL:LL,3)</f>
        <v>11069250</v>
      </c>
      <c r="LM5" s="21">
        <f>QUARTILE(LISTE!LM:LM,3)</f>
        <v>582841.75</v>
      </c>
      <c r="LN5" s="21">
        <f>QUARTILE(LISTE!LN:LN,3)</f>
        <v>600771</v>
      </c>
      <c r="LO5" s="21">
        <f>QUARTILE(LISTE!LO:LO,3)</f>
        <v>424311</v>
      </c>
      <c r="LP5" s="21">
        <f>QUARTILE(LISTE!LP:LP,3)</f>
        <v>432529.5</v>
      </c>
      <c r="LQ5" s="21" t="e">
        <f>QUARTILE(LISTE!LQ:LQ,3)</f>
        <v>#NUM!</v>
      </c>
      <c r="LR5" s="21" t="e">
        <f>QUARTILE(LISTE!LR:LR,3)</f>
        <v>#NUM!</v>
      </c>
      <c r="LS5" s="21">
        <f>QUARTILE(LISTE!LS:LS,3)</f>
        <v>12808801</v>
      </c>
      <c r="LT5" s="21" t="e">
        <f>QUARTILE(LISTE!LT:LT,3)</f>
        <v>#NUM!</v>
      </c>
      <c r="LU5" s="21">
        <f>QUARTILE(LISTE!LU:LU,3)</f>
        <v>267206.5</v>
      </c>
      <c r="LV5" s="21">
        <f>QUARTILE(LISTE!LV:LV,3)</f>
        <v>209453</v>
      </c>
      <c r="LW5" s="21">
        <f>QUARTILE(LISTE!LW:LW,3)</f>
        <v>846806.75</v>
      </c>
      <c r="LX5" s="21">
        <f>QUARTILE(LISTE!LX:LX,3)</f>
        <v>846806.75</v>
      </c>
      <c r="LY5" s="21">
        <f>QUARTILE(LISTE!LY:LY,3)</f>
        <v>327944.5</v>
      </c>
      <c r="LZ5" s="21">
        <f>QUARTILE(LISTE!LZ:LZ,3)</f>
        <v>344020.25</v>
      </c>
      <c r="MA5" s="21">
        <f>QUARTILE(LISTE!MA:MA,3)</f>
        <v>19467275</v>
      </c>
      <c r="MB5" s="21">
        <f>QUARTILE(LISTE!MB:MB,3)</f>
        <v>20374369</v>
      </c>
      <c r="MC5" s="21">
        <f>QUARTILE(LISTE!MC:MC,3)</f>
        <v>15775880</v>
      </c>
      <c r="MD5" s="21">
        <f>QUARTILE(LISTE!MD:MD,3)</f>
        <v>14899300.75</v>
      </c>
      <c r="ME5" s="21">
        <f>QUARTILE(LISTE!ME:ME,3)</f>
        <v>6302499</v>
      </c>
      <c r="MF5" s="21">
        <f>QUARTILE(LISTE!MF:MF,3)</f>
        <v>6048250</v>
      </c>
      <c r="MG5" s="21">
        <f>QUARTILE(LISTE!MG:MG,3)</f>
        <v>2963000</v>
      </c>
      <c r="MH5" s="21">
        <f>QUARTILE(LISTE!MH:MH,3)</f>
        <v>2914000</v>
      </c>
      <c r="MI5" s="21">
        <f>QUARTILE(LISTE!MI:MI,3)</f>
        <v>9226000</v>
      </c>
      <c r="MJ5" s="21">
        <f>QUARTILE(LISTE!MJ:MJ,3)</f>
        <v>10388000</v>
      </c>
      <c r="MK5" s="21" t="e">
        <f>QUARTILE(LISTE!MK:MK,3)</f>
        <v>#NUM!</v>
      </c>
      <c r="ML5" s="21" t="e">
        <f>QUARTILE(LISTE!ML:ML,3)</f>
        <v>#NUM!</v>
      </c>
      <c r="MM5" s="21">
        <f>QUARTILE(LISTE!MM:MM,3)</f>
        <v>988310.5</v>
      </c>
      <c r="MN5" s="21">
        <f>QUARTILE(LISTE!MN:MN,3)</f>
        <v>1050982.5</v>
      </c>
      <c r="MO5" s="21">
        <f>QUARTILE(LISTE!MO:MO,3)</f>
        <v>1316930</v>
      </c>
      <c r="MP5" s="21">
        <f>QUARTILE(LISTE!MP:MP,3)</f>
        <v>1211572</v>
      </c>
      <c r="MQ5" s="21">
        <f>QUARTILE(LISTE!MQ:MQ,3)</f>
        <v>666306.25</v>
      </c>
      <c r="MR5" s="21">
        <f>QUARTILE(LISTE!MR:MR,3)</f>
        <v>568334.75</v>
      </c>
      <c r="MS5" s="21">
        <f>QUARTILE(LISTE!MS:MS,3)</f>
        <v>1576.5</v>
      </c>
      <c r="MT5" s="21">
        <f>QUARTILE(LISTE!MT:MT,3)</f>
        <v>1492.5</v>
      </c>
      <c r="MU5" s="21">
        <f>QUARTILE(LISTE!MU:MU,3)</f>
        <v>3050598</v>
      </c>
      <c r="MV5" s="21">
        <f>QUARTILE(LISTE!MV:MV,3)</f>
        <v>2909628</v>
      </c>
      <c r="MW5" s="21">
        <f>QUARTILE(LISTE!MW:MW,3)</f>
        <v>5283190.5</v>
      </c>
      <c r="MX5" s="21">
        <f>QUARTILE(LISTE!MX:MX,3)</f>
        <v>4493277.5</v>
      </c>
      <c r="MY5" s="21">
        <f>QUARTILE(LISTE!MY:MY,3)</f>
        <v>7148131</v>
      </c>
      <c r="MZ5" s="21">
        <f>QUARTILE(LISTE!MZ:MZ,3)</f>
        <v>6231999</v>
      </c>
      <c r="NA5" s="21">
        <f>QUARTILE(LISTE!NA:NA,3)</f>
        <v>6050122</v>
      </c>
      <c r="NB5" s="21">
        <f>QUARTILE(LISTE!NB:NB,3)</f>
        <v>5634479.75</v>
      </c>
      <c r="NC5" s="21">
        <f>QUARTILE(LISTE!NC:NC,3)</f>
        <v>2364234</v>
      </c>
      <c r="ND5" s="21">
        <f>QUARTILE(LISTE!ND:ND,3)</f>
        <v>2207664.5</v>
      </c>
      <c r="NE5" s="21">
        <f>QUARTILE(LISTE!NE:NE,3)</f>
        <v>439000</v>
      </c>
      <c r="NF5" s="21">
        <f>QUARTILE(LISTE!NF:NF,3)</f>
        <v>479250</v>
      </c>
      <c r="NG5" s="21">
        <f>QUARTILE(LISTE!NG:NG,3)</f>
        <v>28002610.75</v>
      </c>
      <c r="NH5" s="21">
        <f>QUARTILE(LISTE!NH:NH,3)</f>
        <v>26709519</v>
      </c>
      <c r="NI5" s="21">
        <f>QUARTILE(LISTE!NI:NI,3)</f>
        <v>6498359.75</v>
      </c>
      <c r="NJ5" s="21">
        <f>QUARTILE(LISTE!NJ:NJ,3)</f>
        <v>7075945</v>
      </c>
      <c r="NK5" s="21">
        <f>QUARTILE(LISTE!NK:NK,3)</f>
        <v>1861925</v>
      </c>
      <c r="NL5" s="21">
        <f>QUARTILE(LISTE!NL:NL,3)</f>
        <v>1471677</v>
      </c>
      <c r="NM5" s="21">
        <f>QUARTILE(LISTE!NM:NM,3)</f>
        <v>52411615.5</v>
      </c>
      <c r="NN5" s="21">
        <f>QUARTILE(LISTE!NN:NN,3)</f>
        <v>48849299.5</v>
      </c>
      <c r="NO5" s="21">
        <f>QUARTILE(LISTE!NO:NO,3)</f>
        <v>83686048</v>
      </c>
      <c r="NP5" s="21">
        <f>QUARTILE(LISTE!NP:NP,3)</f>
        <v>83064000</v>
      </c>
    </row>
    <row r="6" spans="1:401" x14ac:dyDescent="0.2">
      <c r="A6" s="188" t="s">
        <v>3474</v>
      </c>
      <c r="B6" s="188" t="s">
        <v>3474</v>
      </c>
      <c r="C6" s="21">
        <f>QUARTILE(LISTE!C:C,2)</f>
        <v>263294</v>
      </c>
      <c r="D6" s="21" t="e">
        <f>QUARTILE(LISTE!D:D,2)</f>
        <v>#NUM!</v>
      </c>
      <c r="E6" s="21">
        <f>QUARTILE(LISTE!E:E,2)</f>
        <v>36920.5</v>
      </c>
      <c r="F6" s="21">
        <f>QUARTILE(LISTE!F:F,2)</f>
        <v>2368491</v>
      </c>
      <c r="G6" s="21">
        <f>QUARTILE(LISTE!G:G,2)</f>
        <v>2144361</v>
      </c>
      <c r="H6" s="21">
        <f>QUARTILE(LISTE!H:H,2)</f>
        <v>2291852</v>
      </c>
      <c r="I6" s="21">
        <f>QUARTILE(LISTE!I:I,2)</f>
        <v>2198189</v>
      </c>
      <c r="J6" s="21">
        <f>QUARTILE(LISTE!J:J,2)</f>
        <v>784392</v>
      </c>
      <c r="K6" s="21">
        <f>QUARTILE(LISTE!K:K,2)</f>
        <v>735000</v>
      </c>
      <c r="L6" s="21">
        <f>QUARTILE(LISTE!L:L,2)</f>
        <v>2974926.5</v>
      </c>
      <c r="M6" s="21">
        <f>QUARTILE(LISTE!M:M,2)</f>
        <v>25000</v>
      </c>
      <c r="N6" s="21">
        <f>QUARTILE(LISTE!N:N,2)</f>
        <v>120857</v>
      </c>
      <c r="O6" s="21">
        <f>QUARTILE(LISTE!O:O,2)</f>
        <v>140347</v>
      </c>
      <c r="P6" s="21">
        <f>QUARTILE(LISTE!P:P,2)</f>
        <v>118762</v>
      </c>
      <c r="Q6" s="21">
        <f>QUARTILE(LISTE!Q:Q,2)</f>
        <v>101964</v>
      </c>
      <c r="R6" s="21">
        <f>QUARTILE(LISTE!R:R,2)</f>
        <v>108675.5</v>
      </c>
      <c r="S6" s="21">
        <f>QUARTILE(LISTE!S:S,2)</f>
        <v>219090</v>
      </c>
      <c r="T6" s="21">
        <f>QUARTILE(LISTE!T:T,2)</f>
        <v>114337</v>
      </c>
      <c r="U6" s="21">
        <f>QUARTILE(LISTE!U:U,2)</f>
        <v>1360</v>
      </c>
      <c r="V6" s="21">
        <f>QUARTILE(LISTE!V:V,2)</f>
        <v>58500</v>
      </c>
      <c r="W6" s="21">
        <f>QUARTILE(LISTE!W:W,2)</f>
        <v>75000</v>
      </c>
      <c r="X6" s="21">
        <f>QUARTILE(LISTE!X:X,2)</f>
        <v>75000</v>
      </c>
      <c r="Y6" s="21">
        <f>QUARTILE(LISTE!Y:Y,2)</f>
        <v>31641</v>
      </c>
      <c r="Z6" s="21">
        <f>QUARTILE(LISTE!Z:Z,2)</f>
        <v>171360</v>
      </c>
      <c r="AA6" s="21">
        <f>QUARTILE(LISTE!AA:AA,2)</f>
        <v>159729.5</v>
      </c>
      <c r="AB6" s="21">
        <f>QUARTILE(LISTE!AB:AB,2)</f>
        <v>490048</v>
      </c>
      <c r="AC6" s="21" t="e">
        <f>QUARTILE(LISTE!AC:AC,2)</f>
        <v>#NUM!</v>
      </c>
      <c r="AD6" s="21">
        <f>QUARTILE(LISTE!AD:AD,2)</f>
        <v>27721.5</v>
      </c>
      <c r="AE6" s="21">
        <f>QUARTILE(LISTE!AE:AE,2)</f>
        <v>50159</v>
      </c>
      <c r="AF6" s="21">
        <f>QUARTILE(LISTE!AF:AF,2)</f>
        <v>25411.5</v>
      </c>
      <c r="AG6" s="21" t="e">
        <f>QUARTILE(LISTE!AG:AG,2)</f>
        <v>#NUM!</v>
      </c>
      <c r="AH6" s="21">
        <f>QUARTILE(LISTE!AH:AH,2)</f>
        <v>901</v>
      </c>
      <c r="AI6" s="21">
        <f>QUARTILE(LISTE!AI:AI,2)</f>
        <v>110472</v>
      </c>
      <c r="AJ6" s="21">
        <f>QUARTILE(LISTE!AJ:AJ,2)</f>
        <v>901</v>
      </c>
      <c r="AK6" s="21">
        <f>QUARTILE(LISTE!AK:AK,2)</f>
        <v>5647</v>
      </c>
      <c r="AL6" s="21">
        <f>QUARTILE(LISTE!AL:AL,2)</f>
        <v>63019</v>
      </c>
      <c r="AM6" s="21">
        <f>QUARTILE(LISTE!AM:AM,2)</f>
        <v>37551</v>
      </c>
      <c r="AN6" s="21">
        <f>QUARTILE(LISTE!AN:AN,2)</f>
        <v>63019</v>
      </c>
      <c r="AO6" s="21" t="e">
        <f>QUARTILE(LISTE!AO:AO,2)</f>
        <v>#NUM!</v>
      </c>
      <c r="AP6" s="21">
        <f>QUARTILE(LISTE!AP:AP,2)</f>
        <v>20768</v>
      </c>
      <c r="AQ6" s="21">
        <f>QUARTILE(LISTE!AQ:AQ,2)</f>
        <v>1500</v>
      </c>
      <c r="AR6" s="21">
        <f>QUARTILE(LISTE!AR:AR,2)</f>
        <v>20768</v>
      </c>
      <c r="AS6" s="21">
        <f>QUARTILE(LISTE!AS:AS,2)</f>
        <v>19995</v>
      </c>
      <c r="AT6" s="21">
        <f>QUARTILE(LISTE!AT:AT,2)</f>
        <v>20000</v>
      </c>
      <c r="AU6" s="21">
        <f>QUARTILE(LISTE!AU:AU,2)</f>
        <v>17804.5</v>
      </c>
      <c r="AV6" s="21">
        <f>QUARTILE(LISTE!AV:AV,2)</f>
        <v>133538</v>
      </c>
      <c r="AW6" s="21">
        <f>QUARTILE(LISTE!AW:AW,2)</f>
        <v>220949</v>
      </c>
      <c r="AX6" s="21">
        <f>QUARTILE(LISTE!AX:AX,2)</f>
        <v>548358.5</v>
      </c>
      <c r="AY6" s="21" t="e">
        <f>QUARTILE(LISTE!AY:AY,2)</f>
        <v>#NUM!</v>
      </c>
      <c r="AZ6" s="21">
        <f>QUARTILE(LISTE!AZ:AZ,2)</f>
        <v>280559</v>
      </c>
      <c r="BA6" s="21">
        <f>QUARTILE(LISTE!BA:BA,2)</f>
        <v>281230</v>
      </c>
      <c r="BB6" s="21">
        <f>QUARTILE(LISTE!BB:BB,2)</f>
        <v>281288</v>
      </c>
      <c r="BC6" s="21">
        <f>QUARTILE(LISTE!BC:BC,2)</f>
        <v>121431.5</v>
      </c>
      <c r="BD6" s="21">
        <f>QUARTILE(LISTE!BD:BD,2)</f>
        <v>4477862.5</v>
      </c>
      <c r="BE6" s="21">
        <f>QUARTILE(LISTE!BE:BE,2)</f>
        <v>3827000</v>
      </c>
      <c r="BF6" s="21">
        <f>QUARTILE(LISTE!BF:BF,2)</f>
        <v>2725160.5</v>
      </c>
      <c r="BG6" s="21">
        <f>QUARTILE(LISTE!BG:BG,2)</f>
        <v>164341</v>
      </c>
      <c r="BH6" s="21">
        <f>QUARTILE(LISTE!BH:BH,2)</f>
        <v>28752</v>
      </c>
      <c r="BI6" s="21">
        <f>QUARTILE(LISTE!BI:BI,2)</f>
        <v>24581</v>
      </c>
      <c r="BJ6" s="21">
        <f>QUARTILE(LISTE!BJ:BJ,2)</f>
        <v>185571</v>
      </c>
      <c r="BK6" s="21">
        <f>QUARTILE(LISTE!BK:BK,2)</f>
        <v>6306000</v>
      </c>
      <c r="BL6" s="21">
        <f>QUARTILE(LISTE!BL:BL,2)</f>
        <v>6109722</v>
      </c>
      <c r="BM6" s="21">
        <f>QUARTILE(LISTE!BM:BM,2)</f>
        <v>5843000</v>
      </c>
      <c r="BN6" s="21">
        <f>QUARTILE(LISTE!BN:BN,2)</f>
        <v>13010484.5</v>
      </c>
      <c r="BO6" s="21">
        <f>QUARTILE(LISTE!BO:BO,2)</f>
        <v>26750</v>
      </c>
      <c r="BP6" s="21">
        <f>QUARTILE(LISTE!BP:BP,2)</f>
        <v>246755</v>
      </c>
      <c r="BQ6" s="21">
        <f>QUARTILE(LISTE!BQ:BQ,2)</f>
        <v>144254</v>
      </c>
      <c r="BR6" s="21">
        <f>QUARTILE(LISTE!BR:BR,2)</f>
        <v>196174.5</v>
      </c>
      <c r="BS6" s="21" t="e">
        <f>QUARTILE(LISTE!BS:BS,2)</f>
        <v>#NUM!</v>
      </c>
      <c r="BT6" s="21" t="e">
        <f>QUARTILE(LISTE!BT:BT,2)</f>
        <v>#NUM!</v>
      </c>
      <c r="BU6" s="21" t="e">
        <f>QUARTILE(LISTE!BU:BU,2)</f>
        <v>#NUM!</v>
      </c>
      <c r="BV6" s="21" t="e">
        <f>QUARTILE(LISTE!BV:BV,2)</f>
        <v>#NUM!</v>
      </c>
      <c r="BW6" s="21" t="e">
        <f>QUARTILE(LISTE!BW:BW,2)</f>
        <v>#NUM!</v>
      </c>
      <c r="BX6" s="21">
        <f>QUARTILE(LISTE!BX:BX,2)</f>
        <v>2914179</v>
      </c>
      <c r="BY6" s="21">
        <f>QUARTILE(LISTE!BY:BY,2)</f>
        <v>2570000</v>
      </c>
      <c r="BZ6" s="21">
        <f>QUARTILE(LISTE!BZ:BZ,2)</f>
        <v>2638000</v>
      </c>
      <c r="CA6" s="21">
        <f>QUARTILE(LISTE!CA:CA,2)</f>
        <v>5</v>
      </c>
      <c r="CB6" s="21">
        <f>QUARTILE(LISTE!CB:CB,2)</f>
        <v>5</v>
      </c>
      <c r="CC6" s="21">
        <f>QUARTILE(LISTE!CC:CC,2)</f>
        <v>6</v>
      </c>
      <c r="CD6" s="21">
        <f>QUARTILE(LISTE!CD:CD,2)</f>
        <v>1548757</v>
      </c>
      <c r="CE6" s="21">
        <f>QUARTILE(LISTE!CE:CE,2)</f>
        <v>3582195</v>
      </c>
      <c r="CF6" s="21">
        <f>QUARTILE(LISTE!CF:CF,2)</f>
        <v>1800000</v>
      </c>
      <c r="CG6" s="21">
        <f>QUARTILE(LISTE!CG:CG,2)</f>
        <v>4111250</v>
      </c>
      <c r="CH6" s="21">
        <f>QUARTILE(LISTE!CH:CH,2)</f>
        <v>77314</v>
      </c>
      <c r="CI6" s="21">
        <f>QUARTILE(LISTE!CI:CI,2)</f>
        <v>445106</v>
      </c>
      <c r="CJ6" s="21">
        <f>QUARTILE(LISTE!CJ:CJ,2)</f>
        <v>574000</v>
      </c>
      <c r="CK6" s="21">
        <f>QUARTILE(LISTE!CK:CK,2)</f>
        <v>440264</v>
      </c>
      <c r="CL6" s="21" t="e">
        <f>QUARTILE(LISTE!CL:CL,2)</f>
        <v>#NUM!</v>
      </c>
      <c r="CM6" s="21">
        <f>QUARTILE(LISTE!CM:CM,2)</f>
        <v>20834</v>
      </c>
      <c r="CN6" s="21">
        <f>QUARTILE(LISTE!CN:CN,2)</f>
        <v>19420.5</v>
      </c>
      <c r="CO6" s="21">
        <f>QUARTILE(LISTE!CO:CO,2)</f>
        <v>59530.5</v>
      </c>
      <c r="CP6" s="21">
        <f>QUARTILE(LISTE!CP:CP,2)</f>
        <v>181567</v>
      </c>
      <c r="CQ6" s="21">
        <f>QUARTILE(LISTE!CQ:CQ,2)</f>
        <v>369701</v>
      </c>
      <c r="CR6" s="21">
        <f>QUARTILE(LISTE!CR:CR,2)</f>
        <v>904630.5</v>
      </c>
      <c r="CS6" s="21">
        <f>QUARTILE(LISTE!CS:CS,2)</f>
        <v>457347</v>
      </c>
      <c r="CT6" s="21">
        <f>QUARTILE(LISTE!CT:CT,2)</f>
        <v>57078.5</v>
      </c>
      <c r="CU6" s="21">
        <f>QUARTILE(LISTE!CU:CU,2)</f>
        <v>194243</v>
      </c>
      <c r="CV6" s="21">
        <f>QUARTILE(LISTE!CV:CV,2)</f>
        <v>74742</v>
      </c>
      <c r="CW6" s="21">
        <f>QUARTILE(LISTE!CW:CW,2)</f>
        <v>86991</v>
      </c>
      <c r="CX6" s="21">
        <f>QUARTILE(LISTE!CX:CX,2)</f>
        <v>10250</v>
      </c>
      <c r="CY6" s="21">
        <f>QUARTILE(LISTE!CY:CY,2)</f>
        <v>39970.5</v>
      </c>
      <c r="CZ6" s="21">
        <f>QUARTILE(LISTE!CZ:CZ,2)</f>
        <v>4458</v>
      </c>
      <c r="DA6" s="21">
        <f>QUARTILE(LISTE!DA:DA,2)</f>
        <v>15369</v>
      </c>
      <c r="DB6" s="21">
        <f>QUARTILE(LISTE!DB:DB,2)</f>
        <v>32317</v>
      </c>
      <c r="DC6" s="21">
        <f>QUARTILE(LISTE!DC:DC,2)</f>
        <v>148623.5</v>
      </c>
      <c r="DD6" s="21">
        <f>QUARTILE(LISTE!DD:DD,2)</f>
        <v>216769</v>
      </c>
      <c r="DE6" s="21">
        <f>QUARTILE(LISTE!DE:DE,2)</f>
        <v>134420</v>
      </c>
      <c r="DF6" s="21">
        <f>QUARTILE(LISTE!DF:DF,2)</f>
        <v>2695913</v>
      </c>
      <c r="DG6" s="21">
        <f>QUARTILE(LISTE!DG:DG,2)</f>
        <v>939899</v>
      </c>
      <c r="DH6" s="21">
        <f>QUARTILE(LISTE!DH:DH,2)</f>
        <v>880972</v>
      </c>
      <c r="DI6" s="21">
        <f>QUARTILE(LISTE!DI:DI,2)</f>
        <v>3860601</v>
      </c>
      <c r="DJ6" s="21">
        <f>QUARTILE(LISTE!DJ:DJ,2)</f>
        <v>274050.5</v>
      </c>
      <c r="DK6" s="21">
        <f>QUARTILE(LISTE!DK:DK,2)</f>
        <v>5930219</v>
      </c>
      <c r="DL6" s="21">
        <f>QUARTILE(LISTE!DL:DL,2)</f>
        <v>6624830</v>
      </c>
      <c r="DM6" s="21">
        <f>QUARTILE(LISTE!DM:DM,2)</f>
        <v>6175085</v>
      </c>
      <c r="DN6" s="21">
        <f>QUARTILE(LISTE!DN:DN,2)</f>
        <v>37150.5</v>
      </c>
      <c r="DO6" s="21">
        <f>QUARTILE(LISTE!DO:DO,2)</f>
        <v>72803.5</v>
      </c>
      <c r="DP6" s="21">
        <f>QUARTILE(LISTE!DP:DP,2)</f>
        <v>75412</v>
      </c>
      <c r="DQ6" s="21">
        <f>QUARTILE(LISTE!DQ:DQ,2)</f>
        <v>52797</v>
      </c>
      <c r="DR6" s="21">
        <f>QUARTILE(LISTE!DR:DR,2)</f>
        <v>18380</v>
      </c>
      <c r="DS6" s="21">
        <f>QUARTILE(LISTE!DS:DS,2)</f>
        <v>705073.5</v>
      </c>
      <c r="DT6" s="21">
        <f>QUARTILE(LISTE!DT:DT,2)</f>
        <v>837729</v>
      </c>
      <c r="DU6" s="21">
        <f>QUARTILE(LISTE!DU:DU,2)</f>
        <v>696036</v>
      </c>
      <c r="DV6" s="21">
        <f>QUARTILE(LISTE!DV:DV,2)</f>
        <v>135908.5</v>
      </c>
      <c r="DW6" s="21">
        <f>QUARTILE(LISTE!DW:DW,2)</f>
        <v>38439</v>
      </c>
      <c r="DX6" s="21">
        <f>QUARTILE(LISTE!DX:DX,2)</f>
        <v>50122.5</v>
      </c>
      <c r="DY6" s="21">
        <f>QUARTILE(LISTE!DY:DY,2)</f>
        <v>36605</v>
      </c>
      <c r="DZ6" s="21">
        <f>QUARTILE(LISTE!DZ:DZ,2)</f>
        <v>164781</v>
      </c>
      <c r="EA6" s="21">
        <f>QUARTILE(LISTE!EA:EA,2)</f>
        <v>471024</v>
      </c>
      <c r="EB6" s="21">
        <f>QUARTILE(LISTE!EB:EB,2)</f>
        <v>164781</v>
      </c>
      <c r="EC6" s="21">
        <f>QUARTILE(LISTE!EC:EC,2)</f>
        <v>331876</v>
      </c>
      <c r="ED6" s="21">
        <f>QUARTILE(LISTE!ED:ED,2)</f>
        <v>1281782</v>
      </c>
      <c r="EE6" s="21">
        <f>QUARTILE(LISTE!EE:EE,2)</f>
        <v>1108736</v>
      </c>
      <c r="EF6" s="21">
        <f>QUARTILE(LISTE!EF:EF,2)</f>
        <v>1040047</v>
      </c>
      <c r="EG6" s="21">
        <f>QUARTILE(LISTE!EG:EG,2)</f>
        <v>7776399.5</v>
      </c>
      <c r="EH6" s="21">
        <f>QUARTILE(LISTE!EH:EH,2)</f>
        <v>35918000</v>
      </c>
      <c r="EI6" s="21">
        <f>QUARTILE(LISTE!EI:EI,2)</f>
        <v>22889000</v>
      </c>
      <c r="EJ6" s="21">
        <f>QUARTILE(LISTE!EJ:EJ,2)</f>
        <v>30194730</v>
      </c>
      <c r="EK6" s="21">
        <f>QUARTILE(LISTE!EK:EK,2)</f>
        <v>14040284</v>
      </c>
      <c r="EL6" s="21">
        <f>QUARTILE(LISTE!EL:EL,2)</f>
        <v>18623686</v>
      </c>
      <c r="EM6" s="21">
        <f>QUARTILE(LISTE!EM:EM,2)</f>
        <v>18680355</v>
      </c>
      <c r="EN6" s="21">
        <f>QUARTILE(LISTE!EN:EN,2)</f>
        <v>32766175</v>
      </c>
      <c r="EO6" s="21">
        <f>QUARTILE(LISTE!EO:EO,2)</f>
        <v>362475</v>
      </c>
      <c r="EP6" s="21">
        <f>QUARTILE(LISTE!EP:EP,2)</f>
        <v>23272035.5</v>
      </c>
      <c r="EQ6" s="21">
        <f>QUARTILE(LISTE!EQ:EQ,2)</f>
        <v>21614000</v>
      </c>
      <c r="ER6" s="21">
        <f>QUARTILE(LISTE!ER:ER,2)</f>
        <v>20069636</v>
      </c>
      <c r="ES6" s="21">
        <f>QUARTILE(LISTE!ES:ES,2)</f>
        <v>14823857</v>
      </c>
      <c r="ET6" s="21">
        <f>QUARTILE(LISTE!ET:ET,2)</f>
        <v>45233242</v>
      </c>
      <c r="EU6" s="21">
        <f>QUARTILE(LISTE!EU:EU,2)</f>
        <v>43262127</v>
      </c>
      <c r="EV6" s="21">
        <f>QUARTILE(LISTE!EV:EV,2)</f>
        <v>55153799</v>
      </c>
      <c r="EW6" s="21">
        <f>QUARTILE(LISTE!EW:EW,2)</f>
        <v>177000</v>
      </c>
      <c r="EX6" s="21">
        <f>QUARTILE(LISTE!EX:EX,2)</f>
        <v>1314061.5</v>
      </c>
      <c r="EY6" s="21">
        <f>QUARTILE(LISTE!EY:EY,2)</f>
        <v>1302799</v>
      </c>
      <c r="EZ6" s="21">
        <f>QUARTILE(LISTE!EZ:EZ,2)</f>
        <v>1877223</v>
      </c>
      <c r="FA6" s="21">
        <f>QUARTILE(LISTE!FA:FA,2)</f>
        <v>33909185</v>
      </c>
      <c r="FB6" s="21">
        <f>QUARTILE(LISTE!FB:FB,2)</f>
        <v>249239</v>
      </c>
      <c r="FC6" s="21">
        <f>QUARTILE(LISTE!FC:FC,2)</f>
        <v>299842</v>
      </c>
      <c r="FD6" s="21">
        <f>QUARTILE(LISTE!FD:FD,2)</f>
        <v>174442.5</v>
      </c>
      <c r="FE6" s="21">
        <f>QUARTILE(LISTE!FE:FE,2)</f>
        <v>4439.5</v>
      </c>
      <c r="FF6" s="21">
        <f>QUARTILE(LISTE!FF:FF,2)</f>
        <v>1178524</v>
      </c>
      <c r="FG6" s="21">
        <f>QUARTILE(LISTE!FG:FG,2)</f>
        <v>1185153</v>
      </c>
      <c r="FH6" s="21">
        <f>QUARTILE(LISTE!FH:FH,2)</f>
        <v>1199791</v>
      </c>
      <c r="FI6" s="21">
        <f>QUARTILE(LISTE!FI:FI,2)</f>
        <v>602</v>
      </c>
      <c r="FJ6" s="21">
        <f>QUARTILE(LISTE!FJ:FJ,2)</f>
        <v>79</v>
      </c>
      <c r="FK6" s="21">
        <f>QUARTILE(LISTE!FK:FK,2)</f>
        <v>830372.5</v>
      </c>
      <c r="FL6" s="21">
        <f>QUARTILE(LISTE!FL:FL,2)</f>
        <v>1019000</v>
      </c>
      <c r="FM6" s="21">
        <f>QUARTILE(LISTE!FM:FM,2)</f>
        <v>80023.5</v>
      </c>
      <c r="FN6" s="21">
        <f>QUARTILE(LISTE!FN:FN,2)</f>
        <v>69569.5</v>
      </c>
      <c r="FO6" s="21">
        <f>QUARTILE(LISTE!FO:FO,2)</f>
        <v>53267</v>
      </c>
      <c r="FP6" s="21">
        <f>QUARTILE(LISTE!FP:FP,2)</f>
        <v>77208</v>
      </c>
      <c r="FQ6" s="21">
        <f>QUARTILE(LISTE!FQ:FQ,2)</f>
        <v>13112</v>
      </c>
      <c r="FR6" s="21">
        <f>QUARTILE(LISTE!FR:FR,2)</f>
        <v>15698</v>
      </c>
      <c r="FS6" s="21">
        <f>QUARTILE(LISTE!FS:FS,2)</f>
        <v>55000</v>
      </c>
      <c r="FT6" s="21">
        <f>QUARTILE(LISTE!FT:FT,2)</f>
        <v>78255</v>
      </c>
      <c r="FU6" s="21">
        <f>QUARTILE(LISTE!FU:FU,2)</f>
        <v>-6725</v>
      </c>
      <c r="FV6" s="21">
        <f>QUARTILE(LISTE!FV:FV,2)</f>
        <v>-3032.5</v>
      </c>
      <c r="FW6" s="21">
        <f>QUARTILE(LISTE!FW:FW,2)</f>
        <v>176404</v>
      </c>
      <c r="FX6" s="21">
        <f>QUARTILE(LISTE!FX:FX,2)</f>
        <v>134552</v>
      </c>
      <c r="FY6" s="21">
        <f>QUARTILE(LISTE!FY:FY,2)</f>
        <v>7000</v>
      </c>
      <c r="FZ6" s="21">
        <f>QUARTILE(LISTE!FZ:FZ,2)</f>
        <v>8577.5</v>
      </c>
      <c r="GA6" s="21">
        <f>QUARTILE(LISTE!GA:GA,2)</f>
        <v>156044</v>
      </c>
      <c r="GB6" s="21">
        <f>QUARTILE(LISTE!GB:GB,2)</f>
        <v>160433</v>
      </c>
      <c r="GC6" s="21">
        <f>QUARTILE(LISTE!GC:GC,2)</f>
        <v>44944</v>
      </c>
      <c r="GD6" s="21">
        <f>QUARTILE(LISTE!GD:GD,2)</f>
        <v>58790.5</v>
      </c>
      <c r="GE6" s="21">
        <f>QUARTILE(LISTE!GE:GE,2)</f>
        <v>134652.5</v>
      </c>
      <c r="GF6" s="21">
        <f>QUARTILE(LISTE!GF:GF,2)</f>
        <v>55807</v>
      </c>
      <c r="GG6" s="21">
        <f>QUARTILE(LISTE!GG:GG,2)</f>
        <v>-14895000</v>
      </c>
      <c r="GH6" s="21">
        <f>QUARTILE(LISTE!GH:GH,2)</f>
        <v>-8088000</v>
      </c>
      <c r="GI6" s="21" t="e">
        <f>QUARTILE(LISTE!GI:GI,2)</f>
        <v>#NUM!</v>
      </c>
      <c r="GJ6" s="21">
        <f>QUARTILE(LISTE!GJ:GJ,2)</f>
        <v>-3075</v>
      </c>
      <c r="GK6" s="21">
        <f>QUARTILE(LISTE!GK:GK,2)</f>
        <v>138665</v>
      </c>
      <c r="GL6" s="21">
        <f>QUARTILE(LISTE!GL:GL,2)</f>
        <v>97627.5</v>
      </c>
      <c r="GM6" s="21">
        <f>QUARTILE(LISTE!GM:GM,2)</f>
        <v>1294609</v>
      </c>
      <c r="GN6" s="21">
        <f>QUARTILE(LISTE!GN:GN,2)</f>
        <v>1170372</v>
      </c>
      <c r="GO6" s="21">
        <f>QUARTILE(LISTE!GO:GO,2)</f>
        <v>1415769</v>
      </c>
      <c r="GP6" s="21">
        <f>QUARTILE(LISTE!GP:GP,2)</f>
        <v>1343434.5</v>
      </c>
      <c r="GQ6" s="21">
        <f>QUARTILE(LISTE!GQ:GQ,2)</f>
        <v>11207.5</v>
      </c>
      <c r="GR6" s="21">
        <f>QUARTILE(LISTE!GR:GR,2)</f>
        <v>18333.5</v>
      </c>
      <c r="GS6" s="21">
        <f>QUARTILE(LISTE!GS:GS,2)</f>
        <v>1070161</v>
      </c>
      <c r="GT6" s="21">
        <f>QUARTILE(LISTE!GT:GT,2)</f>
        <v>1019498</v>
      </c>
      <c r="GU6" s="21">
        <f>QUARTILE(LISTE!GU:GU,2)</f>
        <v>140260</v>
      </c>
      <c r="GV6" s="21">
        <f>QUARTILE(LISTE!GV:GV,2)</f>
        <v>139061</v>
      </c>
      <c r="GW6" s="21">
        <f>QUARTILE(LISTE!GW:GW,2)</f>
        <v>194213.5</v>
      </c>
      <c r="GX6" s="21">
        <f>QUARTILE(LISTE!GX:GX,2)</f>
        <v>187812.5</v>
      </c>
      <c r="GY6" s="21">
        <f>QUARTILE(LISTE!GY:GY,2)</f>
        <v>45090031</v>
      </c>
      <c r="GZ6" s="21">
        <f>QUARTILE(LISTE!GZ:GZ,2)</f>
        <v>44025511</v>
      </c>
      <c r="HA6" s="21">
        <f>QUARTILE(LISTE!HA:HA,2)</f>
        <v>628847</v>
      </c>
      <c r="HB6" s="21">
        <f>QUARTILE(LISTE!HB:HB,2)</f>
        <v>627620</v>
      </c>
      <c r="HC6" s="21">
        <f>QUARTILE(LISTE!HC:HC,2)</f>
        <v>4704383</v>
      </c>
      <c r="HD6" s="21">
        <f>QUARTILE(LISTE!HD:HD,2)</f>
        <v>4618533</v>
      </c>
      <c r="HE6" s="21">
        <f>QUARTILE(LISTE!HE:HE,2)</f>
        <v>43632</v>
      </c>
      <c r="HF6" s="21">
        <f>QUARTILE(LISTE!HF:HF,2)</f>
        <v>41513.5</v>
      </c>
      <c r="HG6" s="21">
        <f>QUARTILE(LISTE!HG:HG,2)</f>
        <v>23955.5</v>
      </c>
      <c r="HH6" s="21">
        <f>QUARTILE(LISTE!HH:HH,2)</f>
        <v>32939</v>
      </c>
      <c r="HI6" s="21">
        <f>QUARTILE(LISTE!HI:HI,2)</f>
        <v>179889</v>
      </c>
      <c r="HJ6" s="21">
        <f>QUARTILE(LISTE!HJ:HJ,2)</f>
        <v>204443.5</v>
      </c>
      <c r="HK6" s="21">
        <f>QUARTILE(LISTE!HK:HK,2)</f>
        <v>10211</v>
      </c>
      <c r="HL6" s="21">
        <f>QUARTILE(LISTE!HL:HL,2)</f>
        <v>44964</v>
      </c>
      <c r="HM6" s="21">
        <f>QUARTILE(LISTE!HM:HM,2)</f>
        <v>122</v>
      </c>
      <c r="HN6" s="21">
        <f>QUARTILE(LISTE!HN:HN,2)</f>
        <v>45</v>
      </c>
      <c r="HO6" s="21">
        <f>QUARTILE(LISTE!HO:HO,2)</f>
        <v>2493468</v>
      </c>
      <c r="HP6" s="21">
        <f>QUARTILE(LISTE!HP:HP,2)</f>
        <v>2400224</v>
      </c>
      <c r="HQ6" s="21">
        <f>QUARTILE(LISTE!HQ:HQ,2)</f>
        <v>25000</v>
      </c>
      <c r="HR6" s="21">
        <f>QUARTILE(LISTE!HR:HR,2)</f>
        <v>22824</v>
      </c>
      <c r="HS6" s="21">
        <f>QUARTILE(LISTE!HS:HS,2)</f>
        <v>35427</v>
      </c>
      <c r="HT6" s="21">
        <f>QUARTILE(LISTE!HT:HT,2)</f>
        <v>9487.5</v>
      </c>
      <c r="HU6" s="21">
        <f>QUARTILE(LISTE!HU:HU,2)</f>
        <v>1194298</v>
      </c>
      <c r="HV6" s="21">
        <f>QUARTILE(LISTE!HV:HV,2)</f>
        <v>1177942</v>
      </c>
      <c r="HW6" s="21">
        <f>QUARTILE(LISTE!HW:HW,2)</f>
        <v>63259</v>
      </c>
      <c r="HX6" s="21">
        <f>QUARTILE(LISTE!HX:HX,2)</f>
        <v>77841</v>
      </c>
      <c r="HY6" s="21">
        <f>QUARTILE(LISTE!HY:HY,2)</f>
        <v>87312.5</v>
      </c>
      <c r="HZ6" s="21">
        <f>QUARTILE(LISTE!HZ:HZ,2)</f>
        <v>116858</v>
      </c>
      <c r="IA6" s="21">
        <f>QUARTILE(LISTE!IA:IA,2)</f>
        <v>211461</v>
      </c>
      <c r="IB6" s="21">
        <f>QUARTILE(LISTE!IB:IB,2)</f>
        <v>220907.5</v>
      </c>
      <c r="IC6" s="21">
        <f>QUARTILE(LISTE!IC:IC,2)</f>
        <v>27390</v>
      </c>
      <c r="ID6" s="21">
        <f>QUARTILE(LISTE!ID:ID,2)</f>
        <v>30376</v>
      </c>
      <c r="IE6" s="21">
        <f>QUARTILE(LISTE!IE:IE,2)</f>
        <v>669723</v>
      </c>
      <c r="IF6" s="21">
        <f>QUARTILE(LISTE!IF:IF,2)</f>
        <v>683087.5</v>
      </c>
      <c r="IG6" s="21">
        <f>QUARTILE(LISTE!IG:IG,2)</f>
        <v>264512</v>
      </c>
      <c r="IH6" s="21">
        <f>QUARTILE(LISTE!IH:IH,2)</f>
        <v>284101</v>
      </c>
      <c r="II6" s="21">
        <f>QUARTILE(LISTE!II:II,2)</f>
        <v>15177</v>
      </c>
      <c r="IJ6" s="21">
        <f>QUARTILE(LISTE!IJ:IJ,2)</f>
        <v>5757.5</v>
      </c>
      <c r="IK6" s="21">
        <f>QUARTILE(LISTE!IK:IK,2)</f>
        <v>218543</v>
      </c>
      <c r="IL6" s="21">
        <f>QUARTILE(LISTE!IL:IL,2)</f>
        <v>66037.5</v>
      </c>
      <c r="IM6" s="21">
        <f>QUARTILE(LISTE!IM:IM,2)</f>
        <v>1971</v>
      </c>
      <c r="IN6" s="21">
        <f>QUARTILE(LISTE!IN:IN,2)</f>
        <v>20179</v>
      </c>
      <c r="IO6" s="21">
        <f>QUARTILE(LISTE!IO:IO,2)</f>
        <v>4259</v>
      </c>
      <c r="IP6" s="21">
        <f>QUARTILE(LISTE!IP:IP,2)</f>
        <v>4306</v>
      </c>
      <c r="IQ6" s="21">
        <f>QUARTILE(LISTE!IQ:IQ,2)</f>
        <v>5297</v>
      </c>
      <c r="IR6" s="21">
        <f>QUARTILE(LISTE!IR:IR,2)</f>
        <v>4261</v>
      </c>
      <c r="IS6" s="21">
        <f>QUARTILE(LISTE!IS:IS,2)</f>
        <v>1798</v>
      </c>
      <c r="IT6" s="21">
        <f>QUARTILE(LISTE!IT:IT,2)</f>
        <v>1000</v>
      </c>
      <c r="IU6" s="21">
        <f>QUARTILE(LISTE!IU:IU,2)</f>
        <v>1820719.5</v>
      </c>
      <c r="IV6" s="21">
        <f>QUARTILE(LISTE!IV:IV,2)</f>
        <v>1747033.5</v>
      </c>
      <c r="IW6" s="21">
        <f>QUARTILE(LISTE!IW:IW,2)</f>
        <v>1955937</v>
      </c>
      <c r="IX6" s="21">
        <f>QUARTILE(LISTE!IX:IX,2)</f>
        <v>1921925.5</v>
      </c>
      <c r="IY6" s="21">
        <f>QUARTILE(LISTE!IY:IY,2)</f>
        <v>-171781.5</v>
      </c>
      <c r="IZ6" s="21">
        <f>QUARTILE(LISTE!IZ:IZ,2)</f>
        <v>-182435</v>
      </c>
      <c r="JA6" s="21">
        <f>QUARTILE(LISTE!JA:JA,2)</f>
        <v>421185</v>
      </c>
      <c r="JB6" s="21">
        <f>QUARTILE(LISTE!JB:JB,2)</f>
        <v>395142.5</v>
      </c>
      <c r="JC6" s="21">
        <f>QUARTILE(LISTE!JC:JC,2)</f>
        <v>17822</v>
      </c>
      <c r="JD6" s="21">
        <f>QUARTILE(LISTE!JD:JD,2)</f>
        <v>42803</v>
      </c>
      <c r="JE6" s="21">
        <f>QUARTILE(LISTE!JE:JE,2)</f>
        <v>6067878</v>
      </c>
      <c r="JF6" s="21">
        <f>QUARTILE(LISTE!JF:JF,2)</f>
        <v>5808463</v>
      </c>
      <c r="JG6" s="21">
        <f>QUARTILE(LISTE!JG:JG,2)</f>
        <v>28299</v>
      </c>
      <c r="JH6" s="21">
        <f>QUARTILE(LISTE!JH:JH,2)</f>
        <v>24218</v>
      </c>
      <c r="JI6" s="21">
        <f>QUARTILE(LISTE!JI:JI,2)</f>
        <v>55799440</v>
      </c>
      <c r="JJ6" s="21">
        <f>QUARTILE(LISTE!JJ:JJ,2)</f>
        <v>54486971</v>
      </c>
      <c r="JK6" s="21">
        <f>QUARTILE(LISTE!JK:JK,2)</f>
        <v>236886</v>
      </c>
      <c r="JL6" s="21">
        <f>QUARTILE(LISTE!JL:JL,2)</f>
        <v>258577</v>
      </c>
      <c r="JM6" s="21">
        <f>QUARTILE(LISTE!JM:JM,2)</f>
        <v>54152513</v>
      </c>
      <c r="JN6" s="21">
        <f>QUARTILE(LISTE!JN:JN,2)</f>
        <v>52460658</v>
      </c>
      <c r="JO6" s="21">
        <f>QUARTILE(LISTE!JO:JO,2)</f>
        <v>59362</v>
      </c>
      <c r="JP6" s="21">
        <f>QUARTILE(LISTE!JP:JP,2)</f>
        <v>71772</v>
      </c>
      <c r="JQ6" s="21">
        <f>QUARTILE(LISTE!JQ:JQ,2)</f>
        <v>-12676</v>
      </c>
      <c r="JR6" s="21">
        <f>QUARTILE(LISTE!JR:JR,2)</f>
        <v>-39831</v>
      </c>
      <c r="JS6" s="21">
        <f>QUARTILE(LISTE!JS:JS,2)</f>
        <v>-1623</v>
      </c>
      <c r="JT6" s="21">
        <f>QUARTILE(LISTE!JT:JT,2)</f>
        <v>1439</v>
      </c>
      <c r="JU6" s="21">
        <f>QUARTILE(LISTE!JU:JU,2)</f>
        <v>9368170.5</v>
      </c>
      <c r="JV6" s="21">
        <f>QUARTILE(LISTE!JV:JV,2)</f>
        <v>61784942</v>
      </c>
      <c r="JW6" s="21">
        <f>QUARTILE(LISTE!JW:JW,2)</f>
        <v>62676046</v>
      </c>
      <c r="JX6" s="21">
        <f>QUARTILE(LISTE!JX:JX,2)</f>
        <v>64542000</v>
      </c>
      <c r="JY6" s="21">
        <f>QUARTILE(LISTE!JY:JY,2)</f>
        <v>1388170</v>
      </c>
      <c r="JZ6" s="21">
        <f>QUARTILE(LISTE!JZ:JZ,2)</f>
        <v>1419214</v>
      </c>
      <c r="KA6" s="21">
        <f>QUARTILE(LISTE!KA:KA,2)</f>
        <v>5693417.5</v>
      </c>
      <c r="KB6" s="21">
        <f>QUARTILE(LISTE!KB:KB,2)</f>
        <v>4188569</v>
      </c>
      <c r="KC6" s="21">
        <f>QUARTILE(LISTE!KC:KC,2)</f>
        <v>37000</v>
      </c>
      <c r="KD6" s="21">
        <f>QUARTILE(LISTE!KD:KD,2)</f>
        <v>2277648.5</v>
      </c>
      <c r="KE6" s="21">
        <f>QUARTILE(LISTE!KE:KE,2)</f>
        <v>1968341</v>
      </c>
      <c r="KF6" s="21">
        <f>QUARTILE(LISTE!KF:KF,2)</f>
        <v>1941555</v>
      </c>
      <c r="KG6" s="21">
        <f>QUARTILE(LISTE!KG:KG,2)</f>
        <v>9316371.5</v>
      </c>
      <c r="KH6" s="21">
        <f>QUARTILE(LISTE!KH:KH,2)</f>
        <v>57393576</v>
      </c>
      <c r="KI6" s="21">
        <f>QUARTILE(LISTE!KI:KI,2)</f>
        <v>55850270</v>
      </c>
      <c r="KJ6" s="21">
        <f>QUARTILE(LISTE!KJ:KJ,2)</f>
        <v>56072956</v>
      </c>
      <c r="KK6" s="21">
        <f>QUARTILE(LISTE!KK:KK,2)</f>
        <v>45697</v>
      </c>
      <c r="KL6" s="21">
        <f>QUARTILE(LISTE!KL:KL,2)</f>
        <v>47831.5</v>
      </c>
      <c r="KM6" s="21">
        <f>QUARTILE(LISTE!KM:KM,2)</f>
        <v>310000</v>
      </c>
      <c r="KN6" s="21">
        <f>QUARTILE(LISTE!KN:KN,2)</f>
        <v>310000</v>
      </c>
      <c r="KO6" s="21" t="e">
        <f>QUARTILE(LISTE!KO:KO,2)</f>
        <v>#NUM!</v>
      </c>
      <c r="KP6" s="21" t="e">
        <f>QUARTILE(LISTE!KP:KP,2)</f>
        <v>#NUM!</v>
      </c>
      <c r="KQ6" s="21">
        <f>QUARTILE(LISTE!KQ:KQ,2)</f>
        <v>696022</v>
      </c>
      <c r="KR6" s="21">
        <f>QUARTILE(LISTE!KR:KR,2)</f>
        <v>715000</v>
      </c>
      <c r="KS6" s="21">
        <f>QUARTILE(LISTE!KS:KS,2)</f>
        <v>3666132</v>
      </c>
      <c r="KT6" s="21">
        <f>QUARTILE(LISTE!KT:KT,2)</f>
        <v>1655193</v>
      </c>
      <c r="KU6" s="21">
        <f>QUARTILE(LISTE!KU:KU,2)</f>
        <v>7656137</v>
      </c>
      <c r="KV6" s="21">
        <f>QUARTILE(LISTE!KV:KV,2)</f>
        <v>5786470.5</v>
      </c>
      <c r="KW6" s="21">
        <f>QUARTILE(LISTE!KW:KW,2)</f>
        <v>18943.5</v>
      </c>
      <c r="KX6" s="21">
        <f>QUARTILE(LISTE!KX:KX,2)</f>
        <v>6431</v>
      </c>
      <c r="KY6" s="21">
        <f>QUARTILE(LISTE!KY:KY,2)</f>
        <v>147793</v>
      </c>
      <c r="KZ6" s="21">
        <f>QUARTILE(LISTE!KZ:KZ,2)</f>
        <v>148392</v>
      </c>
      <c r="LA6" s="21">
        <f>QUARTILE(LISTE!LA:LA,2)</f>
        <v>2112000</v>
      </c>
      <c r="LB6" s="21">
        <f>QUARTILE(LISTE!LB:LB,2)</f>
        <v>1990000</v>
      </c>
      <c r="LC6" s="21">
        <f>QUARTILE(LISTE!LC:LC,2)</f>
        <v>48878</v>
      </c>
      <c r="LD6" s="21">
        <f>QUARTILE(LISTE!LD:LD,2)</f>
        <v>26862</v>
      </c>
      <c r="LE6" s="21">
        <f>QUARTILE(LISTE!LE:LE,2)</f>
        <v>6875.5</v>
      </c>
      <c r="LF6" s="21">
        <f>QUARTILE(LISTE!LF:LF,2)</f>
        <v>9910</v>
      </c>
      <c r="LG6" s="21">
        <f>QUARTILE(LISTE!LG:LG,2)</f>
        <v>7440645</v>
      </c>
      <c r="LH6" s="21">
        <f>QUARTILE(LISTE!LH:LH,2)</f>
        <v>8613539</v>
      </c>
      <c r="LI6" s="21">
        <f>QUARTILE(LISTE!LI:LI,2)</f>
        <v>3008581</v>
      </c>
      <c r="LJ6" s="21">
        <f>QUARTILE(LISTE!LJ:LJ,2)</f>
        <v>2762812.5</v>
      </c>
      <c r="LK6" s="21">
        <f>QUARTILE(LISTE!LK:LK,2)</f>
        <v>6050589.5</v>
      </c>
      <c r="LL6" s="21">
        <f>QUARTILE(LISTE!LL:LL,2)</f>
        <v>6104335.5</v>
      </c>
      <c r="LM6" s="21">
        <f>QUARTILE(LISTE!LM:LM,2)</f>
        <v>105787</v>
      </c>
      <c r="LN6" s="21">
        <f>QUARTILE(LISTE!LN:LN,2)</f>
        <v>95000</v>
      </c>
      <c r="LO6" s="21">
        <f>QUARTILE(LISTE!LO:LO,2)</f>
        <v>285087</v>
      </c>
      <c r="LP6" s="21">
        <f>QUARTILE(LISTE!LP:LP,2)</f>
        <v>289656</v>
      </c>
      <c r="LQ6" s="21" t="e">
        <f>QUARTILE(LISTE!LQ:LQ,2)</f>
        <v>#NUM!</v>
      </c>
      <c r="LR6" s="21" t="e">
        <f>QUARTILE(LISTE!LR:LR,2)</f>
        <v>#NUM!</v>
      </c>
      <c r="LS6" s="21">
        <f>QUARTILE(LISTE!LS:LS,2)</f>
        <v>12808801</v>
      </c>
      <c r="LT6" s="21" t="e">
        <f>QUARTILE(LISTE!LT:LT,2)</f>
        <v>#NUM!</v>
      </c>
      <c r="LU6" s="21">
        <f>QUARTILE(LISTE!LU:LU,2)</f>
        <v>-5866</v>
      </c>
      <c r="LV6" s="21">
        <f>QUARTILE(LISTE!LV:LV,2)</f>
        <v>-20900</v>
      </c>
      <c r="LW6" s="21">
        <f>QUARTILE(LISTE!LW:LW,2)</f>
        <v>263961.5</v>
      </c>
      <c r="LX6" s="21">
        <f>QUARTILE(LISTE!LX:LX,2)</f>
        <v>262619.5</v>
      </c>
      <c r="LY6" s="21">
        <f>QUARTILE(LISTE!LY:LY,2)</f>
        <v>66112</v>
      </c>
      <c r="LZ6" s="21">
        <f>QUARTILE(LISTE!LZ:LZ,2)</f>
        <v>88271</v>
      </c>
      <c r="MA6" s="21">
        <f>QUARTILE(LISTE!MA:MA,2)</f>
        <v>8571256.5</v>
      </c>
      <c r="MB6" s="21">
        <f>QUARTILE(LISTE!MB:MB,2)</f>
        <v>9060246</v>
      </c>
      <c r="MC6" s="21">
        <f>QUARTILE(LISTE!MC:MC,2)</f>
        <v>3789679.5</v>
      </c>
      <c r="MD6" s="21">
        <f>QUARTILE(LISTE!MD:MD,2)</f>
        <v>3637204.5</v>
      </c>
      <c r="ME6" s="21">
        <f>QUARTILE(LISTE!ME:ME,2)</f>
        <v>3657522</v>
      </c>
      <c r="MF6" s="21">
        <f>QUARTILE(LISTE!MF:MF,2)</f>
        <v>3222750</v>
      </c>
      <c r="MG6" s="21">
        <f>QUARTILE(LISTE!MG:MG,2)</f>
        <v>925051</v>
      </c>
      <c r="MH6" s="21">
        <f>QUARTILE(LISTE!MH:MH,2)</f>
        <v>852459</v>
      </c>
      <c r="MI6" s="21">
        <f>QUARTILE(LISTE!MI:MI,2)</f>
        <v>2035318</v>
      </c>
      <c r="MJ6" s="21">
        <f>QUARTILE(LISTE!MJ:MJ,2)</f>
        <v>2057000</v>
      </c>
      <c r="MK6" s="21" t="e">
        <f>QUARTILE(LISTE!MK:MK,2)</f>
        <v>#NUM!</v>
      </c>
      <c r="ML6" s="21" t="e">
        <f>QUARTILE(LISTE!ML:ML,2)</f>
        <v>#NUM!</v>
      </c>
      <c r="MM6" s="21">
        <f>QUARTILE(LISTE!MM:MM,2)</f>
        <v>170226</v>
      </c>
      <c r="MN6" s="21">
        <f>QUARTILE(LISTE!MN:MN,2)</f>
        <v>115416</v>
      </c>
      <c r="MO6" s="21">
        <f>QUARTILE(LISTE!MO:MO,2)</f>
        <v>466205</v>
      </c>
      <c r="MP6" s="21">
        <f>QUARTILE(LISTE!MP:MP,2)</f>
        <v>485291</v>
      </c>
      <c r="MQ6" s="21">
        <f>QUARTILE(LISTE!MQ:MQ,2)</f>
        <v>199910</v>
      </c>
      <c r="MR6" s="21">
        <f>QUARTILE(LISTE!MR:MR,2)</f>
        <v>238317.5</v>
      </c>
      <c r="MS6" s="21">
        <f>QUARTILE(LISTE!MS:MS,2)</f>
        <v>-1</v>
      </c>
      <c r="MT6" s="21">
        <f>QUARTILE(LISTE!MT:MT,2)</f>
        <v>-1</v>
      </c>
      <c r="MU6" s="21">
        <f>QUARTILE(LISTE!MU:MU,2)</f>
        <v>219948</v>
      </c>
      <c r="MV6" s="21">
        <f>QUARTILE(LISTE!MV:MV,2)</f>
        <v>434476</v>
      </c>
      <c r="MW6" s="21">
        <f>QUARTILE(LISTE!MW:MW,2)</f>
        <v>654348</v>
      </c>
      <c r="MX6" s="21">
        <f>QUARTILE(LISTE!MX:MX,2)</f>
        <v>738667</v>
      </c>
      <c r="MY6" s="21">
        <f>QUARTILE(LISTE!MY:MY,2)</f>
        <v>3229937</v>
      </c>
      <c r="MZ6" s="21">
        <f>QUARTILE(LISTE!MZ:MZ,2)</f>
        <v>2794089</v>
      </c>
      <c r="NA6" s="21">
        <f>QUARTILE(LISTE!NA:NA,2)</f>
        <v>4277125</v>
      </c>
      <c r="NB6" s="21">
        <f>QUARTILE(LISTE!NB:NB,2)</f>
        <v>4129614.5</v>
      </c>
      <c r="NC6" s="21">
        <f>QUARTILE(LISTE!NC:NC,2)</f>
        <v>1123569</v>
      </c>
      <c r="ND6" s="21">
        <f>QUARTILE(LISTE!ND:ND,2)</f>
        <v>1076000</v>
      </c>
      <c r="NE6" s="21">
        <f>QUARTILE(LISTE!NE:NE,2)</f>
        <v>95106</v>
      </c>
      <c r="NF6" s="21">
        <f>QUARTILE(LISTE!NF:NF,2)</f>
        <v>86943.5</v>
      </c>
      <c r="NG6" s="21">
        <f>QUARTILE(LISTE!NG:NG,2)</f>
        <v>13048353.5</v>
      </c>
      <c r="NH6" s="21">
        <f>QUARTILE(LISTE!NH:NH,2)</f>
        <v>11284000</v>
      </c>
      <c r="NI6" s="21">
        <f>QUARTILE(LISTE!NI:NI,2)</f>
        <v>302592.5</v>
      </c>
      <c r="NJ6" s="21">
        <f>QUARTILE(LISTE!NJ:NJ,2)</f>
        <v>565920</v>
      </c>
      <c r="NK6" s="21">
        <f>QUARTILE(LISTE!NK:NK,2)</f>
        <v>142000</v>
      </c>
      <c r="NL6" s="21">
        <f>QUARTILE(LISTE!NL:NL,2)</f>
        <v>160015</v>
      </c>
      <c r="NM6" s="21">
        <f>QUARTILE(LISTE!NM:NM,2)</f>
        <v>25585372</v>
      </c>
      <c r="NN6" s="21">
        <f>QUARTILE(LISTE!NN:NN,2)</f>
        <v>25507252</v>
      </c>
      <c r="NO6" s="21">
        <f>QUARTILE(LISTE!NO:NO,2)</f>
        <v>43305820</v>
      </c>
      <c r="NP6" s="21">
        <f>QUARTILE(LISTE!NP:NP,2)</f>
        <v>43262127</v>
      </c>
    </row>
    <row r="7" spans="1:401" x14ac:dyDescent="0.2">
      <c r="A7" s="190" t="s">
        <v>3475</v>
      </c>
      <c r="B7" s="190" t="s">
        <v>3475</v>
      </c>
      <c r="C7" s="21">
        <f>QUARTILE(LISTE!C:C,1)</f>
        <v>171047.25</v>
      </c>
      <c r="D7" s="21" t="e">
        <f>QUARTILE(LISTE!D:D,1)</f>
        <v>#NUM!</v>
      </c>
      <c r="E7" s="21">
        <f>QUARTILE(LISTE!E:E,1)</f>
        <v>6656.5</v>
      </c>
      <c r="F7" s="21">
        <f>QUARTILE(LISTE!F:F,1)</f>
        <v>1352490</v>
      </c>
      <c r="G7" s="21">
        <f>QUARTILE(LISTE!G:G,1)</f>
        <v>1193793.5</v>
      </c>
      <c r="H7" s="21">
        <f>QUARTILE(LISTE!H:H,1)</f>
        <v>1328306</v>
      </c>
      <c r="I7" s="21">
        <f>QUARTILE(LISTE!I:I,1)</f>
        <v>1150727</v>
      </c>
      <c r="J7" s="21">
        <f>QUARTILE(LISTE!J:J,1)</f>
        <v>390894</v>
      </c>
      <c r="K7" s="21">
        <f>QUARTILE(LISTE!K:K,1)</f>
        <v>370410</v>
      </c>
      <c r="L7" s="21">
        <f>QUARTILE(LISTE!L:L,1)</f>
        <v>1575937</v>
      </c>
      <c r="M7" s="21">
        <f>QUARTILE(LISTE!M:M,1)</f>
        <v>1950</v>
      </c>
      <c r="N7" s="21">
        <f>QUARTILE(LISTE!N:N,1)</f>
        <v>27000</v>
      </c>
      <c r="O7" s="21">
        <f>QUARTILE(LISTE!O:O,1)</f>
        <v>43554</v>
      </c>
      <c r="P7" s="21">
        <f>QUARTILE(LISTE!P:P,1)</f>
        <v>23743</v>
      </c>
      <c r="Q7" s="21">
        <f>QUARTILE(LISTE!Q:Q,1)</f>
        <v>16185</v>
      </c>
      <c r="R7" s="21">
        <f>QUARTILE(LISTE!R:R,1)</f>
        <v>16458</v>
      </c>
      <c r="S7" s="21">
        <f>QUARTILE(LISTE!S:S,1)</f>
        <v>18000</v>
      </c>
      <c r="T7" s="21">
        <f>QUARTILE(LISTE!T:T,1)</f>
        <v>30345</v>
      </c>
      <c r="U7" s="21">
        <f>QUARTILE(LISTE!U:U,1)</f>
        <v>609</v>
      </c>
      <c r="V7" s="21">
        <f>QUARTILE(LISTE!V:V,1)</f>
        <v>3795.5</v>
      </c>
      <c r="W7" s="21">
        <f>QUARTILE(LISTE!W:W,1)</f>
        <v>2101</v>
      </c>
      <c r="X7" s="21">
        <f>QUARTILE(LISTE!X:X,1)</f>
        <v>2801</v>
      </c>
      <c r="Y7" s="21">
        <f>QUARTILE(LISTE!Y:Y,1)</f>
        <v>3175</v>
      </c>
      <c r="Z7" s="21">
        <f>QUARTILE(LISTE!Z:Z,1)</f>
        <v>14936.5</v>
      </c>
      <c r="AA7" s="21">
        <f>QUARTILE(LISTE!AA:AA,1)</f>
        <v>7500</v>
      </c>
      <c r="AB7" s="21">
        <f>QUARTILE(LISTE!AB:AB,1)</f>
        <v>20000</v>
      </c>
      <c r="AC7" s="21" t="e">
        <f>QUARTILE(LISTE!AC:AC,1)</f>
        <v>#NUM!</v>
      </c>
      <c r="AD7" s="21">
        <f>QUARTILE(LISTE!AD:AD,1)</f>
        <v>10487.25</v>
      </c>
      <c r="AE7" s="21">
        <f>QUARTILE(LISTE!AE:AE,1)</f>
        <v>8947</v>
      </c>
      <c r="AF7" s="21">
        <f>QUARTILE(LISTE!AF:AF,1)</f>
        <v>10487.25</v>
      </c>
      <c r="AG7" s="21" t="e">
        <f>QUARTILE(LISTE!AG:AG,1)</f>
        <v>#NUM!</v>
      </c>
      <c r="AH7" s="21">
        <f>QUARTILE(LISTE!AH:AH,1)</f>
        <v>901</v>
      </c>
      <c r="AI7" s="21">
        <f>QUARTILE(LISTE!AI:AI,1)</f>
        <v>110472</v>
      </c>
      <c r="AJ7" s="21">
        <f>QUARTILE(LISTE!AJ:AJ,1)</f>
        <v>901</v>
      </c>
      <c r="AK7" s="21">
        <f>QUARTILE(LISTE!AK:AK,1)</f>
        <v>5647</v>
      </c>
      <c r="AL7" s="21">
        <f>QUARTILE(LISTE!AL:AL,1)</f>
        <v>18656.5</v>
      </c>
      <c r="AM7" s="21">
        <f>QUARTILE(LISTE!AM:AM,1)</f>
        <v>6438</v>
      </c>
      <c r="AN7" s="21">
        <f>QUARTILE(LISTE!AN:AN,1)</f>
        <v>18656.5</v>
      </c>
      <c r="AO7" s="21" t="e">
        <f>QUARTILE(LISTE!AO:AO,1)</f>
        <v>#NUM!</v>
      </c>
      <c r="AP7" s="21">
        <f>QUARTILE(LISTE!AP:AP,1)</f>
        <v>10386.5</v>
      </c>
      <c r="AQ7" s="21">
        <f>QUARTILE(LISTE!AQ:AQ,1)</f>
        <v>752.5</v>
      </c>
      <c r="AR7" s="21">
        <f>QUARTILE(LISTE!AR:AR,1)</f>
        <v>10386.5</v>
      </c>
      <c r="AS7" s="21">
        <f>QUARTILE(LISTE!AS:AS,1)</f>
        <v>1000</v>
      </c>
      <c r="AT7" s="21">
        <f>QUARTILE(LISTE!AT:AT,1)</f>
        <v>3000</v>
      </c>
      <c r="AU7" s="21">
        <f>QUARTILE(LISTE!AU:AU,1)</f>
        <v>3952.25</v>
      </c>
      <c r="AV7" s="21">
        <f>QUARTILE(LISTE!AV:AV,1)</f>
        <v>29288.5</v>
      </c>
      <c r="AW7" s="21">
        <f>QUARTILE(LISTE!AW:AW,1)</f>
        <v>48166</v>
      </c>
      <c r="AX7" s="21">
        <f>QUARTILE(LISTE!AX:AX,1)</f>
        <v>142749</v>
      </c>
      <c r="AY7" s="21" t="e">
        <f>QUARTILE(LISTE!AY:AY,1)</f>
        <v>#NUM!</v>
      </c>
      <c r="AZ7" s="21">
        <f>QUARTILE(LISTE!AZ:AZ,1)</f>
        <v>163095.75</v>
      </c>
      <c r="BA7" s="21">
        <f>QUARTILE(LISTE!BA:BA,1)</f>
        <v>170529.5</v>
      </c>
      <c r="BB7" s="21">
        <f>QUARTILE(LISTE!BB:BB,1)</f>
        <v>175988</v>
      </c>
      <c r="BC7" s="21">
        <f>QUARTILE(LISTE!BC:BC,1)</f>
        <v>20496.5</v>
      </c>
      <c r="BD7" s="21">
        <f>QUARTILE(LISTE!BD:BD,1)</f>
        <v>588054.5</v>
      </c>
      <c r="BE7" s="21">
        <f>QUARTILE(LISTE!BE:BE,1)</f>
        <v>541061.5</v>
      </c>
      <c r="BF7" s="21">
        <f>QUARTILE(LISTE!BF:BF,1)</f>
        <v>419103.25</v>
      </c>
      <c r="BG7" s="21">
        <f>QUARTILE(LISTE!BG:BG,1)</f>
        <v>78913.5</v>
      </c>
      <c r="BH7" s="21">
        <f>QUARTILE(LISTE!BH:BH,1)</f>
        <v>6779</v>
      </c>
      <c r="BI7" s="21">
        <f>QUARTILE(LISTE!BI:BI,1)</f>
        <v>6384.5</v>
      </c>
      <c r="BJ7" s="21">
        <f>QUARTILE(LISTE!BJ:BJ,1)</f>
        <v>97209</v>
      </c>
      <c r="BK7" s="21">
        <f>QUARTILE(LISTE!BK:BK,1)</f>
        <v>2166140.5</v>
      </c>
      <c r="BL7" s="21">
        <f>QUARTILE(LISTE!BL:BL,1)</f>
        <v>1882000</v>
      </c>
      <c r="BM7" s="21">
        <f>QUARTILE(LISTE!BM:BM,1)</f>
        <v>1672481</v>
      </c>
      <c r="BN7" s="21">
        <f>QUARTILE(LISTE!BN:BN,1)</f>
        <v>4007494</v>
      </c>
      <c r="BO7" s="21">
        <f>QUARTILE(LISTE!BO:BO,1)</f>
        <v>3425</v>
      </c>
      <c r="BP7" s="21">
        <f>QUARTILE(LISTE!BP:BP,1)</f>
        <v>39224.75</v>
      </c>
      <c r="BQ7" s="21">
        <f>QUARTILE(LISTE!BQ:BQ,1)</f>
        <v>15442</v>
      </c>
      <c r="BR7" s="21">
        <f>QUARTILE(LISTE!BR:BR,1)</f>
        <v>28080.75</v>
      </c>
      <c r="BS7" s="21" t="e">
        <f>QUARTILE(LISTE!BS:BS,1)</f>
        <v>#NUM!</v>
      </c>
      <c r="BT7" s="21" t="e">
        <f>QUARTILE(LISTE!BT:BT,1)</f>
        <v>#NUM!</v>
      </c>
      <c r="BU7" s="21" t="e">
        <f>QUARTILE(LISTE!BU:BU,1)</f>
        <v>#NUM!</v>
      </c>
      <c r="BV7" s="21" t="e">
        <f>QUARTILE(LISTE!BV:BV,1)</f>
        <v>#NUM!</v>
      </c>
      <c r="BW7" s="21" t="e">
        <f>QUARTILE(LISTE!BW:BW,1)</f>
        <v>#NUM!</v>
      </c>
      <c r="BX7" s="21">
        <f>QUARTILE(LISTE!BX:BX,1)</f>
        <v>1049312.25</v>
      </c>
      <c r="BY7" s="21">
        <f>QUARTILE(LISTE!BY:BY,1)</f>
        <v>1062396</v>
      </c>
      <c r="BZ7" s="21">
        <f>QUARTILE(LISTE!BZ:BZ,1)</f>
        <v>970543.5</v>
      </c>
      <c r="CA7" s="21">
        <f>QUARTILE(LISTE!CA:CA,1)</f>
        <v>1</v>
      </c>
      <c r="CB7" s="21">
        <f>QUARTILE(LISTE!CB:CB,1)</f>
        <v>1.25</v>
      </c>
      <c r="CC7" s="21">
        <f>QUARTILE(LISTE!CC:CC,1)</f>
        <v>1.5</v>
      </c>
      <c r="CD7" s="21">
        <f>QUARTILE(LISTE!CD:CD,1)</f>
        <v>375769.75</v>
      </c>
      <c r="CE7" s="21">
        <f>QUARTILE(LISTE!CE:CE,1)</f>
        <v>771744.5</v>
      </c>
      <c r="CF7" s="21">
        <f>QUARTILE(LISTE!CF:CF,1)</f>
        <v>264942</v>
      </c>
      <c r="CG7" s="21">
        <f>QUARTILE(LISTE!CG:CG,1)</f>
        <v>1368000</v>
      </c>
      <c r="CH7" s="21">
        <f>QUARTILE(LISTE!CH:CH,1)</f>
        <v>8000</v>
      </c>
      <c r="CI7" s="21">
        <f>QUARTILE(LISTE!CI:CI,1)</f>
        <v>203245</v>
      </c>
      <c r="CJ7" s="21">
        <f>QUARTILE(LISTE!CJ:CJ,1)</f>
        <v>222124.5</v>
      </c>
      <c r="CK7" s="21">
        <f>QUARTILE(LISTE!CK:CK,1)</f>
        <v>133412</v>
      </c>
      <c r="CL7" s="21" t="e">
        <f>QUARTILE(LISTE!CL:CL,1)</f>
        <v>#NUM!</v>
      </c>
      <c r="CM7" s="21">
        <f>QUARTILE(LISTE!CM:CM,1)</f>
        <v>9401.5</v>
      </c>
      <c r="CN7" s="21">
        <f>QUARTILE(LISTE!CN:CN,1)</f>
        <v>7834</v>
      </c>
      <c r="CO7" s="21">
        <f>QUARTILE(LISTE!CO:CO,1)</f>
        <v>26248</v>
      </c>
      <c r="CP7" s="21">
        <f>QUARTILE(LISTE!CP:CP,1)</f>
        <v>121035</v>
      </c>
      <c r="CQ7" s="21">
        <f>QUARTILE(LISTE!CQ:CQ,1)</f>
        <v>115861</v>
      </c>
      <c r="CR7" s="21">
        <f>QUARTILE(LISTE!CR:CR,1)</f>
        <v>205503.5</v>
      </c>
      <c r="CS7" s="21">
        <f>QUARTILE(LISTE!CS:CS,1)</f>
        <v>152131</v>
      </c>
      <c r="CT7" s="21">
        <f>QUARTILE(LISTE!CT:CT,1)</f>
        <v>17916.5</v>
      </c>
      <c r="CU7" s="21">
        <f>QUARTILE(LISTE!CU:CU,1)</f>
        <v>71000</v>
      </c>
      <c r="CV7" s="21">
        <f>QUARTILE(LISTE!CV:CV,1)</f>
        <v>71000</v>
      </c>
      <c r="CW7" s="21">
        <f>QUARTILE(LISTE!CW:CW,1)</f>
        <v>28584</v>
      </c>
      <c r="CX7" s="21">
        <f>QUARTILE(LISTE!CX:CX,1)</f>
        <v>5879</v>
      </c>
      <c r="CY7" s="21">
        <f>QUARTILE(LISTE!CY:CY,1)</f>
        <v>2689.25</v>
      </c>
      <c r="CZ7" s="21">
        <f>QUARTILE(LISTE!CZ:CZ,1)</f>
        <v>1295.75</v>
      </c>
      <c r="DA7" s="21">
        <f>QUARTILE(LISTE!DA:DA,1)</f>
        <v>5879</v>
      </c>
      <c r="DB7" s="21">
        <f>QUARTILE(LISTE!DB:DB,1)</f>
        <v>25946</v>
      </c>
      <c r="DC7" s="21">
        <f>QUARTILE(LISTE!DC:DC,1)</f>
        <v>47075.5</v>
      </c>
      <c r="DD7" s="21">
        <f>QUARTILE(LISTE!DD:DD,1)</f>
        <v>44486</v>
      </c>
      <c r="DE7" s="21">
        <f>QUARTILE(LISTE!DE:DE,1)</f>
        <v>47075.5</v>
      </c>
      <c r="DF7" s="21">
        <f>QUARTILE(LISTE!DF:DF,1)</f>
        <v>1263053</v>
      </c>
      <c r="DG7" s="21">
        <f>QUARTILE(LISTE!DG:DG,1)</f>
        <v>288920</v>
      </c>
      <c r="DH7" s="21">
        <f>QUARTILE(LISTE!DH:DH,1)</f>
        <v>320235</v>
      </c>
      <c r="DI7" s="21">
        <f>QUARTILE(LISTE!DI:DI,1)</f>
        <v>1646144.25</v>
      </c>
      <c r="DJ7" s="21">
        <f>QUARTILE(LISTE!DJ:DJ,1)</f>
        <v>102500</v>
      </c>
      <c r="DK7" s="21">
        <f>QUARTILE(LISTE!DK:DK,1)</f>
        <v>3302000</v>
      </c>
      <c r="DL7" s="21">
        <f>QUARTILE(LISTE!DL:DL,1)</f>
        <v>3527276</v>
      </c>
      <c r="DM7" s="21">
        <f>QUARTILE(LISTE!DM:DM,1)</f>
        <v>3574026.5</v>
      </c>
      <c r="DN7" s="21">
        <f>QUARTILE(LISTE!DN:DN,1)</f>
        <v>31684.5</v>
      </c>
      <c r="DO7" s="21">
        <f>QUARTILE(LISTE!DO:DO,1)</f>
        <v>28134.25</v>
      </c>
      <c r="DP7" s="21">
        <f>QUARTILE(LISTE!DP:DP,1)</f>
        <v>25600</v>
      </c>
      <c r="DQ7" s="21">
        <f>QUARTILE(LISTE!DQ:DQ,1)</f>
        <v>25497</v>
      </c>
      <c r="DR7" s="21">
        <f>QUARTILE(LISTE!DR:DR,1)</f>
        <v>2415</v>
      </c>
      <c r="DS7" s="21">
        <f>QUARTILE(LISTE!DS:DS,1)</f>
        <v>79397.5</v>
      </c>
      <c r="DT7" s="21">
        <f>QUARTILE(LISTE!DT:DT,1)</f>
        <v>142579.75</v>
      </c>
      <c r="DU7" s="21">
        <f>QUARTILE(LISTE!DU:DU,1)</f>
        <v>136822.5</v>
      </c>
      <c r="DV7" s="21">
        <f>QUARTILE(LISTE!DV:DV,1)</f>
        <v>12240</v>
      </c>
      <c r="DW7" s="21">
        <f>QUARTILE(LISTE!DW:DW,1)</f>
        <v>11765</v>
      </c>
      <c r="DX7" s="21">
        <f>QUARTILE(LISTE!DX:DX,1)</f>
        <v>15233</v>
      </c>
      <c r="DY7" s="21">
        <f>QUARTILE(LISTE!DY:DY,1)</f>
        <v>12178</v>
      </c>
      <c r="DZ7" s="21">
        <f>QUARTILE(LISTE!DZ:DZ,1)</f>
        <v>164781</v>
      </c>
      <c r="EA7" s="21">
        <f>QUARTILE(LISTE!EA:EA,1)</f>
        <v>471024</v>
      </c>
      <c r="EB7" s="21">
        <f>QUARTILE(LISTE!EB:EB,1)</f>
        <v>164781</v>
      </c>
      <c r="EC7" s="21">
        <f>QUARTILE(LISTE!EC:EC,1)</f>
        <v>53109.25</v>
      </c>
      <c r="ED7" s="21">
        <f>QUARTILE(LISTE!ED:ED,1)</f>
        <v>219837</v>
      </c>
      <c r="EE7" s="21">
        <f>QUARTILE(LISTE!EE:EE,1)</f>
        <v>255376</v>
      </c>
      <c r="EF7" s="21">
        <f>QUARTILE(LISTE!EF:EF,1)</f>
        <v>256504</v>
      </c>
      <c r="EG7" s="21">
        <f>QUARTILE(LISTE!EG:EG,1)</f>
        <v>5613349.25</v>
      </c>
      <c r="EH7" s="21">
        <f>QUARTILE(LISTE!EH:EH,1)</f>
        <v>13043000</v>
      </c>
      <c r="EI7" s="21">
        <f>QUARTILE(LISTE!EI:EI,1)</f>
        <v>8929000</v>
      </c>
      <c r="EJ7" s="21">
        <f>QUARTILE(LISTE!EJ:EJ,1)</f>
        <v>4713383</v>
      </c>
      <c r="EK7" s="21">
        <f>QUARTILE(LISTE!EK:EK,1)</f>
        <v>7238758.25</v>
      </c>
      <c r="EL7" s="21">
        <f>QUARTILE(LISTE!EL:EL,1)</f>
        <v>7258172</v>
      </c>
      <c r="EM7" s="21">
        <f>QUARTILE(LISTE!EM:EM,1)</f>
        <v>7013579</v>
      </c>
      <c r="EN7" s="21">
        <f>QUARTILE(LISTE!EN:EN,1)</f>
        <v>15588452</v>
      </c>
      <c r="EO7" s="21">
        <f>QUARTILE(LISTE!EO:EO,1)</f>
        <v>128226</v>
      </c>
      <c r="EP7" s="21">
        <f>QUARTILE(LISTE!EP:EP,1)</f>
        <v>12003524.75</v>
      </c>
      <c r="EQ7" s="21">
        <f>QUARTILE(LISTE!EQ:EQ,1)</f>
        <v>11105938</v>
      </c>
      <c r="ER7" s="21">
        <f>QUARTILE(LISTE!ER:ER,1)</f>
        <v>10895563.5</v>
      </c>
      <c r="ES7" s="21">
        <f>QUARTILE(LISTE!ES:ES,1)</f>
        <v>8316558.5</v>
      </c>
      <c r="ET7" s="21">
        <f>QUARTILE(LISTE!ET:ET,1)</f>
        <v>25136162.5</v>
      </c>
      <c r="EU7" s="21">
        <f>QUARTILE(LISTE!EU:EU,1)</f>
        <v>24233044</v>
      </c>
      <c r="EV7" s="21">
        <f>QUARTILE(LISTE!EV:EV,1)</f>
        <v>35569966.5</v>
      </c>
      <c r="EW7" s="21">
        <f>QUARTILE(LISTE!EW:EW,1)</f>
        <v>31678.5</v>
      </c>
      <c r="EX7" s="21">
        <f>QUARTILE(LISTE!EX:EX,1)</f>
        <v>404488.25</v>
      </c>
      <c r="EY7" s="21">
        <f>QUARTILE(LISTE!EY:EY,1)</f>
        <v>387300.75</v>
      </c>
      <c r="EZ7" s="21">
        <f>QUARTILE(LISTE!EZ:EZ,1)</f>
        <v>457974.5</v>
      </c>
      <c r="FA7" s="21">
        <f>QUARTILE(LISTE!FA:FA,1)</f>
        <v>33909185</v>
      </c>
      <c r="FB7" s="21">
        <f>QUARTILE(LISTE!FB:FB,1)</f>
        <v>88547</v>
      </c>
      <c r="FC7" s="21">
        <f>QUARTILE(LISTE!FC:FC,1)</f>
        <v>80094.5</v>
      </c>
      <c r="FD7" s="21">
        <f>QUARTILE(LISTE!FD:FD,1)</f>
        <v>55435</v>
      </c>
      <c r="FE7" s="21">
        <f>QUARTILE(LISTE!FE:FE,1)</f>
        <v>1184.75</v>
      </c>
      <c r="FF7" s="21">
        <f>QUARTILE(LISTE!FF:FF,1)</f>
        <v>170025</v>
      </c>
      <c r="FG7" s="21">
        <f>QUARTILE(LISTE!FG:FG,1)</f>
        <v>163788.5</v>
      </c>
      <c r="FH7" s="21">
        <f>QUARTILE(LISTE!FH:FH,1)</f>
        <v>144500</v>
      </c>
      <c r="FI7" s="21">
        <f>QUARTILE(LISTE!FI:FI,1)</f>
        <v>-87200</v>
      </c>
      <c r="FJ7" s="21">
        <f>QUARTILE(LISTE!FJ:FJ,1)</f>
        <v>-95445</v>
      </c>
      <c r="FK7" s="21">
        <f>QUARTILE(LISTE!FK:FK,1)</f>
        <v>870.75</v>
      </c>
      <c r="FL7" s="21">
        <f>QUARTILE(LISTE!FL:FL,1)</f>
        <v>115831</v>
      </c>
      <c r="FM7" s="21">
        <f>QUARTILE(LISTE!FM:FM,1)</f>
        <v>7183.25</v>
      </c>
      <c r="FN7" s="21">
        <f>QUARTILE(LISTE!FN:FN,1)</f>
        <v>9484.75</v>
      </c>
      <c r="FO7" s="21">
        <f>QUARTILE(LISTE!FO:FO,1)</f>
        <v>9605.25</v>
      </c>
      <c r="FP7" s="21">
        <f>QUARTILE(LISTE!FP:FP,1)</f>
        <v>12742</v>
      </c>
      <c r="FQ7" s="21">
        <f>QUARTILE(LISTE!FQ:FQ,1)</f>
        <v>-153000</v>
      </c>
      <c r="FR7" s="21">
        <f>QUARTILE(LISTE!FR:FR,1)</f>
        <v>-147000</v>
      </c>
      <c r="FS7" s="21">
        <f>QUARTILE(LISTE!FS:FS,1)</f>
        <v>9616</v>
      </c>
      <c r="FT7" s="21">
        <f>QUARTILE(LISTE!FT:FT,1)</f>
        <v>10991</v>
      </c>
      <c r="FU7" s="21">
        <f>QUARTILE(LISTE!FU:FU,1)</f>
        <v>-56488</v>
      </c>
      <c r="FV7" s="21">
        <f>QUARTILE(LISTE!FV:FV,1)</f>
        <v>-38441.25</v>
      </c>
      <c r="FW7" s="21">
        <f>QUARTILE(LISTE!FW:FW,1)</f>
        <v>-178168</v>
      </c>
      <c r="FX7" s="21">
        <f>QUARTILE(LISTE!FX:FX,1)</f>
        <v>-222746</v>
      </c>
      <c r="FY7" s="21">
        <f>QUARTILE(LISTE!FY:FY,1)</f>
        <v>3.5</v>
      </c>
      <c r="FZ7" s="21">
        <f>QUARTILE(LISTE!FZ:FZ,1)</f>
        <v>69.5</v>
      </c>
      <c r="GA7" s="21">
        <f>QUARTILE(LISTE!GA:GA,1)</f>
        <v>849.75</v>
      </c>
      <c r="GB7" s="21">
        <f>QUARTILE(LISTE!GB:GB,1)</f>
        <v>51852.75</v>
      </c>
      <c r="GC7" s="21">
        <f>QUARTILE(LISTE!GC:GC,1)</f>
        <v>10771</v>
      </c>
      <c r="GD7" s="21">
        <f>QUARTILE(LISTE!GD:GD,1)</f>
        <v>12710</v>
      </c>
      <c r="GE7" s="21">
        <f>QUARTILE(LISTE!GE:GE,1)</f>
        <v>35398.75</v>
      </c>
      <c r="GF7" s="21">
        <f>QUARTILE(LISTE!GF:GF,1)</f>
        <v>9184.5</v>
      </c>
      <c r="GG7" s="21">
        <f>QUARTILE(LISTE!GG:GG,1)</f>
        <v>-14895000</v>
      </c>
      <c r="GH7" s="21">
        <f>QUARTILE(LISTE!GH:GH,1)</f>
        <v>-8088000</v>
      </c>
      <c r="GI7" s="21" t="e">
        <f>QUARTILE(LISTE!GI:GI,1)</f>
        <v>#NUM!</v>
      </c>
      <c r="GJ7" s="21">
        <f>QUARTILE(LISTE!GJ:GJ,1)</f>
        <v>-3075</v>
      </c>
      <c r="GK7" s="21">
        <f>QUARTILE(LISTE!GK:GK,1)</f>
        <v>25837</v>
      </c>
      <c r="GL7" s="21">
        <f>QUARTILE(LISTE!GL:GL,1)</f>
        <v>19771.75</v>
      </c>
      <c r="GM7" s="21">
        <f>QUARTILE(LISTE!GM:GM,1)</f>
        <v>486206.25</v>
      </c>
      <c r="GN7" s="21">
        <f>QUARTILE(LISTE!GN:GN,1)</f>
        <v>368758</v>
      </c>
      <c r="GO7" s="21">
        <f>QUARTILE(LISTE!GO:GO,1)</f>
        <v>614000</v>
      </c>
      <c r="GP7" s="21">
        <f>QUARTILE(LISTE!GP:GP,1)</f>
        <v>453715.75</v>
      </c>
      <c r="GQ7" s="21">
        <f>QUARTILE(LISTE!GQ:GQ,1)</f>
        <v>34</v>
      </c>
      <c r="GR7" s="21">
        <f>QUARTILE(LISTE!GR:GR,1)</f>
        <v>-1144</v>
      </c>
      <c r="GS7" s="21">
        <f>QUARTILE(LISTE!GS:GS,1)</f>
        <v>270000</v>
      </c>
      <c r="GT7" s="21">
        <f>QUARTILE(LISTE!GT:GT,1)</f>
        <v>250000</v>
      </c>
      <c r="GU7" s="21">
        <f>QUARTILE(LISTE!GU:GU,1)</f>
        <v>10846</v>
      </c>
      <c r="GV7" s="21">
        <f>QUARTILE(LISTE!GV:GV,1)</f>
        <v>18109</v>
      </c>
      <c r="GW7" s="21">
        <f>QUARTILE(LISTE!GW:GW,1)</f>
        <v>48948</v>
      </c>
      <c r="GX7" s="21">
        <f>QUARTILE(LISTE!GX:GX,1)</f>
        <v>44147.5</v>
      </c>
      <c r="GY7" s="21">
        <f>QUARTILE(LISTE!GY:GY,1)</f>
        <v>26463000</v>
      </c>
      <c r="GZ7" s="21">
        <f>QUARTILE(LISTE!GZ:GZ,1)</f>
        <v>24993893.75</v>
      </c>
      <c r="HA7" s="21">
        <f>QUARTILE(LISTE!HA:HA,1)</f>
        <v>115210</v>
      </c>
      <c r="HB7" s="21">
        <f>QUARTILE(LISTE!HB:HB,1)</f>
        <v>115927.75</v>
      </c>
      <c r="HC7" s="21">
        <f>QUARTILE(LISTE!HC:HC,1)</f>
        <v>2195024</v>
      </c>
      <c r="HD7" s="21">
        <f>QUARTILE(LISTE!HD:HD,1)</f>
        <v>2259380</v>
      </c>
      <c r="HE7" s="21">
        <f>QUARTILE(LISTE!HE:HE,1)</f>
        <v>1630</v>
      </c>
      <c r="HF7" s="21">
        <f>QUARTILE(LISTE!HF:HF,1)</f>
        <v>359.75</v>
      </c>
      <c r="HG7" s="21">
        <f>QUARTILE(LISTE!HG:HG,1)</f>
        <v>7174.75</v>
      </c>
      <c r="HH7" s="21">
        <f>QUARTILE(LISTE!HH:HH,1)</f>
        <v>8322</v>
      </c>
      <c r="HI7" s="21">
        <f>QUARTILE(LISTE!HI:HI,1)</f>
        <v>23324.5</v>
      </c>
      <c r="HJ7" s="21">
        <f>QUARTILE(LISTE!HJ:HJ,1)</f>
        <v>30632.25</v>
      </c>
      <c r="HK7" s="21">
        <f>QUARTILE(LISTE!HK:HK,1)</f>
        <v>701</v>
      </c>
      <c r="HL7" s="21">
        <f>QUARTILE(LISTE!HL:HL,1)</f>
        <v>27332.5</v>
      </c>
      <c r="HM7" s="21">
        <f>QUARTILE(LISTE!HM:HM,1)</f>
        <v>26</v>
      </c>
      <c r="HN7" s="21">
        <f>QUARTILE(LISTE!HN:HN,1)</f>
        <v>21</v>
      </c>
      <c r="HO7" s="21">
        <f>QUARTILE(LISTE!HO:HO,1)</f>
        <v>1339793</v>
      </c>
      <c r="HP7" s="21">
        <f>QUARTILE(LISTE!HP:HP,1)</f>
        <v>1213766</v>
      </c>
      <c r="HQ7" s="21">
        <f>QUARTILE(LISTE!HQ:HQ,1)</f>
        <v>177</v>
      </c>
      <c r="HR7" s="21">
        <f>QUARTILE(LISTE!HR:HR,1)</f>
        <v>372.5</v>
      </c>
      <c r="HS7" s="21">
        <f>QUARTILE(LISTE!HS:HS,1)</f>
        <v>1162</v>
      </c>
      <c r="HT7" s="21">
        <f>QUARTILE(LISTE!HT:HT,1)</f>
        <v>62.75</v>
      </c>
      <c r="HU7" s="21">
        <f>QUARTILE(LISTE!HU:HU,1)</f>
        <v>593431</v>
      </c>
      <c r="HV7" s="21">
        <f>QUARTILE(LISTE!HV:HV,1)</f>
        <v>518411</v>
      </c>
      <c r="HW7" s="21">
        <f>QUARTILE(LISTE!HW:HW,1)</f>
        <v>2000</v>
      </c>
      <c r="HX7" s="21">
        <f>QUARTILE(LISTE!HX:HX,1)</f>
        <v>5224</v>
      </c>
      <c r="HY7" s="21">
        <f>QUARTILE(LISTE!HY:HY,1)</f>
        <v>33246.25</v>
      </c>
      <c r="HZ7" s="21">
        <f>QUARTILE(LISTE!HZ:HZ,1)</f>
        <v>49630.25</v>
      </c>
      <c r="IA7" s="21">
        <f>QUARTILE(LISTE!IA:IA,1)</f>
        <v>72804</v>
      </c>
      <c r="IB7" s="21">
        <f>QUARTILE(LISTE!IB:IB,1)</f>
        <v>71925.25</v>
      </c>
      <c r="IC7" s="21">
        <f>QUARTILE(LISTE!IC:IC,1)</f>
        <v>5497</v>
      </c>
      <c r="ID7" s="21">
        <f>QUARTILE(LISTE!ID:ID,1)</f>
        <v>5562.5</v>
      </c>
      <c r="IE7" s="21">
        <f>QUARTILE(LISTE!IE:IE,1)</f>
        <v>75126</v>
      </c>
      <c r="IF7" s="21">
        <f>QUARTILE(LISTE!IF:IF,1)</f>
        <v>42500</v>
      </c>
      <c r="IG7" s="21">
        <f>QUARTILE(LISTE!IG:IG,1)</f>
        <v>115678.5</v>
      </c>
      <c r="IH7" s="21">
        <f>QUARTILE(LISTE!IH:IH,1)</f>
        <v>140206</v>
      </c>
      <c r="II7" s="21">
        <f>QUARTILE(LISTE!II:II,1)</f>
        <v>3763.5</v>
      </c>
      <c r="IJ7" s="21">
        <f>QUARTILE(LISTE!IJ:IJ,1)</f>
        <v>978.75</v>
      </c>
      <c r="IK7" s="21">
        <f>QUARTILE(LISTE!IK:IK,1)</f>
        <v>34200</v>
      </c>
      <c r="IL7" s="21">
        <f>QUARTILE(LISTE!IL:IL,1)</f>
        <v>12724.25</v>
      </c>
      <c r="IM7" s="21">
        <f>QUARTILE(LISTE!IM:IM,1)</f>
        <v>-140932.5</v>
      </c>
      <c r="IN7" s="21">
        <f>QUARTILE(LISTE!IN:IN,1)</f>
        <v>-55000</v>
      </c>
      <c r="IO7" s="21">
        <f>QUARTILE(LISTE!IO:IO,1)</f>
        <v>1201</v>
      </c>
      <c r="IP7" s="21">
        <f>QUARTILE(LISTE!IP:IP,1)</f>
        <v>322</v>
      </c>
      <c r="IQ7" s="21">
        <f>QUARTILE(LISTE!IQ:IQ,1)</f>
        <v>845</v>
      </c>
      <c r="IR7" s="21">
        <f>QUARTILE(LISTE!IR:IR,1)</f>
        <v>574</v>
      </c>
      <c r="IS7" s="21">
        <f>QUARTILE(LISTE!IS:IS,1)</f>
        <v>78</v>
      </c>
      <c r="IT7" s="21">
        <f>QUARTILE(LISTE!IT:IT,1)</f>
        <v>172</v>
      </c>
      <c r="IU7" s="21">
        <f>QUARTILE(LISTE!IU:IU,1)</f>
        <v>634905</v>
      </c>
      <c r="IV7" s="21">
        <f>QUARTILE(LISTE!IV:IV,1)</f>
        <v>596327.5</v>
      </c>
      <c r="IW7" s="21">
        <f>QUARTILE(LISTE!IW:IW,1)</f>
        <v>825898.5</v>
      </c>
      <c r="IX7" s="21">
        <f>QUARTILE(LISTE!IX:IX,1)</f>
        <v>798341.25</v>
      </c>
      <c r="IY7" s="21">
        <f>QUARTILE(LISTE!IY:IY,1)</f>
        <v>-437853.75</v>
      </c>
      <c r="IZ7" s="21">
        <f>QUARTILE(LISTE!IZ:IZ,1)</f>
        <v>-429757</v>
      </c>
      <c r="JA7" s="21">
        <f>QUARTILE(LISTE!JA:JA,1)</f>
        <v>217814.5</v>
      </c>
      <c r="JB7" s="21">
        <f>QUARTILE(LISTE!JB:JB,1)</f>
        <v>159382.5</v>
      </c>
      <c r="JC7" s="21">
        <f>QUARTILE(LISTE!JC:JC,1)</f>
        <v>5000</v>
      </c>
      <c r="JD7" s="21">
        <f>QUARTILE(LISTE!JD:JD,1)</f>
        <v>6048.25</v>
      </c>
      <c r="JE7" s="21">
        <f>QUARTILE(LISTE!JE:JE,1)</f>
        <v>2887352.75</v>
      </c>
      <c r="JF7" s="21">
        <f>QUARTILE(LISTE!JF:JF,1)</f>
        <v>2770453</v>
      </c>
      <c r="JG7" s="21">
        <f>QUARTILE(LISTE!JG:JG,1)</f>
        <v>11928</v>
      </c>
      <c r="JH7" s="21">
        <f>QUARTILE(LISTE!JH:JH,1)</f>
        <v>5578</v>
      </c>
      <c r="JI7" s="21">
        <f>QUARTILE(LISTE!JI:JI,1)</f>
        <v>26960440</v>
      </c>
      <c r="JJ7" s="21">
        <f>QUARTILE(LISTE!JJ:JJ,1)</f>
        <v>28105963.75</v>
      </c>
      <c r="JK7" s="21">
        <f>QUARTILE(LISTE!JK:JK,1)</f>
        <v>64522</v>
      </c>
      <c r="JL7" s="21">
        <f>QUARTILE(LISTE!JL:JL,1)</f>
        <v>66783</v>
      </c>
      <c r="JM7" s="21">
        <f>QUARTILE(LISTE!JM:JM,1)</f>
        <v>12429089</v>
      </c>
      <c r="JN7" s="21">
        <f>QUARTILE(LISTE!JN:JN,1)</f>
        <v>18036000</v>
      </c>
      <c r="JO7" s="21">
        <f>QUARTILE(LISTE!JO:JO,1)</f>
        <v>12418</v>
      </c>
      <c r="JP7" s="21">
        <f>QUARTILE(LISTE!JP:JP,1)</f>
        <v>17082</v>
      </c>
      <c r="JQ7" s="21">
        <f>QUARTILE(LISTE!JQ:JQ,1)</f>
        <v>-236680</v>
      </c>
      <c r="JR7" s="21">
        <f>QUARTILE(LISTE!JR:JR,1)</f>
        <v>-378011.5</v>
      </c>
      <c r="JS7" s="21">
        <f>QUARTILE(LISTE!JS:JS,1)</f>
        <v>-54764.5</v>
      </c>
      <c r="JT7" s="21">
        <f>QUARTILE(LISTE!JT:JT,1)</f>
        <v>-9795.75</v>
      </c>
      <c r="JU7" s="21">
        <f>QUARTILE(LISTE!JU:JU,1)</f>
        <v>1297469</v>
      </c>
      <c r="JV7" s="21">
        <f>QUARTILE(LISTE!JV:JV,1)</f>
        <v>44250091</v>
      </c>
      <c r="JW7" s="21">
        <f>QUARTILE(LISTE!JW:JW,1)</f>
        <v>42104089</v>
      </c>
      <c r="JX7" s="21">
        <f>QUARTILE(LISTE!JX:JX,1)</f>
        <v>40853337</v>
      </c>
      <c r="JY7" s="21">
        <f>QUARTILE(LISTE!JY:JY,1)</f>
        <v>966632</v>
      </c>
      <c r="JZ7" s="21">
        <f>QUARTILE(LISTE!JZ:JZ,1)</f>
        <v>140888</v>
      </c>
      <c r="KA7" s="21">
        <f>QUARTILE(LISTE!KA:KA,1)</f>
        <v>150305.25</v>
      </c>
      <c r="KB7" s="21">
        <f>QUARTILE(LISTE!KB:KB,1)</f>
        <v>91099.5</v>
      </c>
      <c r="KC7" s="21">
        <f>QUARTILE(LISTE!KC:KC,1)</f>
        <v>22042</v>
      </c>
      <c r="KD7" s="21">
        <f>QUARTILE(LISTE!KD:KD,1)</f>
        <v>749614.5</v>
      </c>
      <c r="KE7" s="21">
        <f>QUARTILE(LISTE!KE:KE,1)</f>
        <v>724015</v>
      </c>
      <c r="KF7" s="21">
        <f>QUARTILE(LISTE!KF:KF,1)</f>
        <v>915831</v>
      </c>
      <c r="KG7" s="21">
        <f>QUARTILE(LISTE!KG:KG,1)</f>
        <v>1851816.25</v>
      </c>
      <c r="KH7" s="21">
        <f>QUARTILE(LISTE!KH:KH,1)</f>
        <v>36844861.75</v>
      </c>
      <c r="KI7" s="21">
        <f>QUARTILE(LISTE!KI:KI,1)</f>
        <v>35017740.5</v>
      </c>
      <c r="KJ7" s="21">
        <f>QUARTILE(LISTE!KJ:KJ,1)</f>
        <v>37809789</v>
      </c>
      <c r="KK7" s="21">
        <f>QUARTILE(LISTE!KK:KK,1)</f>
        <v>3.75</v>
      </c>
      <c r="KL7" s="21">
        <f>QUARTILE(LISTE!KL:KL,1)</f>
        <v>1036.5</v>
      </c>
      <c r="KM7" s="21">
        <f>QUARTILE(LISTE!KM:KM,1)</f>
        <v>310000</v>
      </c>
      <c r="KN7" s="21">
        <f>QUARTILE(LISTE!KN:KN,1)</f>
        <v>310000</v>
      </c>
      <c r="KO7" s="21" t="e">
        <f>QUARTILE(LISTE!KO:KO,1)</f>
        <v>#NUM!</v>
      </c>
      <c r="KP7" s="21" t="e">
        <f>QUARTILE(LISTE!KP:KP,1)</f>
        <v>#NUM!</v>
      </c>
      <c r="KQ7" s="21">
        <f>QUARTILE(LISTE!KQ:KQ,1)</f>
        <v>151261.75</v>
      </c>
      <c r="KR7" s="21">
        <f>QUARTILE(LISTE!KR:KR,1)</f>
        <v>152736.5</v>
      </c>
      <c r="KS7" s="21">
        <f>QUARTILE(LISTE!KS:KS,1)</f>
        <v>1183385.25</v>
      </c>
      <c r="KT7" s="21">
        <f>QUARTILE(LISTE!KT:KT,1)</f>
        <v>827915.5</v>
      </c>
      <c r="KU7" s="21">
        <f>QUARTILE(LISTE!KU:KU,1)</f>
        <v>2619622</v>
      </c>
      <c r="KV7" s="21">
        <f>QUARTILE(LISTE!KV:KV,1)</f>
        <v>2016946</v>
      </c>
      <c r="KW7" s="21">
        <f>QUARTILE(LISTE!KW:KW,1)</f>
        <v>12687.25</v>
      </c>
      <c r="KX7" s="21">
        <f>QUARTILE(LISTE!KX:KX,1)</f>
        <v>6431</v>
      </c>
      <c r="KY7" s="21">
        <f>QUARTILE(LISTE!KY:KY,1)</f>
        <v>7500</v>
      </c>
      <c r="KZ7" s="21">
        <f>QUARTILE(LISTE!KZ:KZ,1)</f>
        <v>8718</v>
      </c>
      <c r="LA7" s="21">
        <f>QUARTILE(LISTE!LA:LA,1)</f>
        <v>164000</v>
      </c>
      <c r="LB7" s="21">
        <f>QUARTILE(LISTE!LB:LB,1)</f>
        <v>161000</v>
      </c>
      <c r="LC7" s="21">
        <f>QUARTILE(LISTE!LC:LC,1)</f>
        <v>6274.5</v>
      </c>
      <c r="LD7" s="21">
        <f>QUARTILE(LISTE!LD:LD,1)</f>
        <v>9573</v>
      </c>
      <c r="LE7" s="21">
        <f>QUARTILE(LISTE!LE:LE,1)</f>
        <v>303.5</v>
      </c>
      <c r="LF7" s="21">
        <f>QUARTILE(LISTE!LF:LF,1)</f>
        <v>835.5</v>
      </c>
      <c r="LG7" s="21">
        <f>QUARTILE(LISTE!LG:LG,1)</f>
        <v>7134631.5</v>
      </c>
      <c r="LH7" s="21">
        <f>QUARTILE(LISTE!LH:LH,1)</f>
        <v>7551286</v>
      </c>
      <c r="LI7" s="21">
        <f>QUARTILE(LISTE!LI:LI,1)</f>
        <v>1695643.25</v>
      </c>
      <c r="LJ7" s="21">
        <f>QUARTILE(LISTE!LJ:LJ,1)</f>
        <v>1664808</v>
      </c>
      <c r="LK7" s="21">
        <f>QUARTILE(LISTE!LK:LK,1)</f>
        <v>3539697.5</v>
      </c>
      <c r="LL7" s="21">
        <f>QUARTILE(LISTE!LL:LL,1)</f>
        <v>3454576</v>
      </c>
      <c r="LM7" s="21">
        <f>QUARTILE(LISTE!LM:LM,1)</f>
        <v>30863.5</v>
      </c>
      <c r="LN7" s="21">
        <f>QUARTILE(LISTE!LN:LN,1)</f>
        <v>27082</v>
      </c>
      <c r="LO7" s="21">
        <f>QUARTILE(LISTE!LO:LO,1)</f>
        <v>145863</v>
      </c>
      <c r="LP7" s="21">
        <f>QUARTILE(LISTE!LP:LP,1)</f>
        <v>146782.5</v>
      </c>
      <c r="LQ7" s="21" t="e">
        <f>QUARTILE(LISTE!LQ:LQ,1)</f>
        <v>#NUM!</v>
      </c>
      <c r="LR7" s="21" t="e">
        <f>QUARTILE(LISTE!LR:LR,1)</f>
        <v>#NUM!</v>
      </c>
      <c r="LS7" s="21">
        <f>QUARTILE(LISTE!LS:LS,1)</f>
        <v>12808801</v>
      </c>
      <c r="LT7" s="21" t="e">
        <f>QUARTILE(LISTE!LT:LT,1)</f>
        <v>#NUM!</v>
      </c>
      <c r="LU7" s="21">
        <f>QUARTILE(LISTE!LU:LU,1)</f>
        <v>-918000</v>
      </c>
      <c r="LV7" s="21">
        <f>QUARTILE(LISTE!LV:LV,1)</f>
        <v>-594000</v>
      </c>
      <c r="LW7" s="21">
        <f>QUARTILE(LISTE!LW:LW,1)</f>
        <v>74713.75</v>
      </c>
      <c r="LX7" s="21">
        <f>QUARTILE(LISTE!LX:LX,1)</f>
        <v>74713.75</v>
      </c>
      <c r="LY7" s="21">
        <f>QUARTILE(LISTE!LY:LY,1)</f>
        <v>17332.5</v>
      </c>
      <c r="LZ7" s="21">
        <f>QUARTILE(LISTE!LZ:LZ,1)</f>
        <v>28118.75</v>
      </c>
      <c r="MA7" s="21">
        <f>QUARTILE(LISTE!MA:MA,1)</f>
        <v>2995884.25</v>
      </c>
      <c r="MB7" s="21">
        <f>QUARTILE(LISTE!MB:MB,1)</f>
        <v>2937788.5</v>
      </c>
      <c r="MC7" s="21">
        <f>QUARTILE(LISTE!MC:MC,1)</f>
        <v>384470.75</v>
      </c>
      <c r="MD7" s="21">
        <f>QUARTILE(LISTE!MD:MD,1)</f>
        <v>311131.5</v>
      </c>
      <c r="ME7" s="21">
        <f>QUARTILE(LISTE!ME:ME,1)</f>
        <v>1727000</v>
      </c>
      <c r="MF7" s="21">
        <f>QUARTILE(LISTE!MF:MF,1)</f>
        <v>1864380.5</v>
      </c>
      <c r="MG7" s="21">
        <f>QUARTILE(LISTE!MG:MG,1)</f>
        <v>149250</v>
      </c>
      <c r="MH7" s="21">
        <f>QUARTILE(LISTE!MH:MH,1)</f>
        <v>114000</v>
      </c>
      <c r="MI7" s="21">
        <f>QUARTILE(LISTE!MI:MI,1)</f>
        <v>312500</v>
      </c>
      <c r="MJ7" s="21">
        <f>QUARTILE(LISTE!MJ:MJ,1)</f>
        <v>348033.5</v>
      </c>
      <c r="MK7" s="21" t="e">
        <f>QUARTILE(LISTE!MK:MK,1)</f>
        <v>#NUM!</v>
      </c>
      <c r="ML7" s="21" t="e">
        <f>QUARTILE(LISTE!ML:ML,1)</f>
        <v>#NUM!</v>
      </c>
      <c r="MM7" s="21">
        <f>QUARTILE(LISTE!MM:MM,1)</f>
        <v>28132.5</v>
      </c>
      <c r="MN7" s="21">
        <f>QUARTILE(LISTE!MN:MN,1)</f>
        <v>31028.5</v>
      </c>
      <c r="MO7" s="21">
        <f>QUARTILE(LISTE!MO:MO,1)</f>
        <v>239410</v>
      </c>
      <c r="MP7" s="21">
        <f>QUARTILE(LISTE!MP:MP,1)</f>
        <v>221450</v>
      </c>
      <c r="MQ7" s="21">
        <f>QUARTILE(LISTE!MQ:MQ,1)</f>
        <v>35750</v>
      </c>
      <c r="MR7" s="21">
        <f>QUARTILE(LISTE!MR:MR,1)</f>
        <v>63438.5</v>
      </c>
      <c r="MS7" s="21">
        <f>QUARTILE(LISTE!MS:MS,1)</f>
        <v>-2.25</v>
      </c>
      <c r="MT7" s="21">
        <f>QUARTILE(LISTE!MT:MT,1)</f>
        <v>-1</v>
      </c>
      <c r="MU7" s="21">
        <f>QUARTILE(LISTE!MU:MU,1)</f>
        <v>-92115</v>
      </c>
      <c r="MV7" s="21">
        <f>QUARTILE(LISTE!MV:MV,1)</f>
        <v>-18556.5</v>
      </c>
      <c r="MW7" s="21">
        <f>QUARTILE(LISTE!MW:MW,1)</f>
        <v>120064.25</v>
      </c>
      <c r="MX7" s="21">
        <f>QUARTILE(LISTE!MX:MX,1)</f>
        <v>117206</v>
      </c>
      <c r="MY7" s="21">
        <f>QUARTILE(LISTE!MY:MY,1)</f>
        <v>563756</v>
      </c>
      <c r="MZ7" s="21">
        <f>QUARTILE(LISTE!MZ:MZ,1)</f>
        <v>299000</v>
      </c>
      <c r="NA7" s="21">
        <f>QUARTILE(LISTE!NA:NA,1)</f>
        <v>3317281</v>
      </c>
      <c r="NB7" s="21">
        <f>QUARTILE(LISTE!NB:NB,1)</f>
        <v>2925508.25</v>
      </c>
      <c r="NC7" s="21">
        <f>QUARTILE(LISTE!NC:NC,1)</f>
        <v>438118</v>
      </c>
      <c r="ND7" s="21">
        <f>QUARTILE(LISTE!ND:ND,1)</f>
        <v>316543.25</v>
      </c>
      <c r="NE7" s="21">
        <f>QUARTILE(LISTE!NE:NE,1)</f>
        <v>15017</v>
      </c>
      <c r="NF7" s="21">
        <f>QUARTILE(LISTE!NF:NF,1)</f>
        <v>27981.25</v>
      </c>
      <c r="NG7" s="21">
        <f>QUARTILE(LISTE!NG:NG,1)</f>
        <v>5974739.75</v>
      </c>
      <c r="NH7" s="21">
        <f>QUARTILE(LISTE!NH:NH,1)</f>
        <v>5443577</v>
      </c>
      <c r="NI7" s="21">
        <f>QUARTILE(LISTE!NI:NI,1)</f>
        <v>93360</v>
      </c>
      <c r="NJ7" s="21">
        <f>QUARTILE(LISTE!NJ:NJ,1)</f>
        <v>88926</v>
      </c>
      <c r="NK7" s="21">
        <f>QUARTILE(LISTE!NK:NK,1)</f>
        <v>11935.5</v>
      </c>
      <c r="NL7" s="21">
        <f>QUARTILE(LISTE!NL:NL,1)</f>
        <v>13876.25</v>
      </c>
      <c r="NM7" s="21">
        <f>QUARTILE(LISTE!NM:NM,1)</f>
        <v>15486495.25</v>
      </c>
      <c r="NN7" s="21">
        <f>QUARTILE(LISTE!NN:NN,1)</f>
        <v>14546149</v>
      </c>
      <c r="NO7" s="21">
        <f>QUARTILE(LISTE!NO:NO,1)</f>
        <v>24908000</v>
      </c>
      <c r="NP7" s="21">
        <f>QUARTILE(LISTE!NP:NP,1)</f>
        <v>24383376</v>
      </c>
    </row>
    <row r="8" spans="1:401" x14ac:dyDescent="0.2">
      <c r="A8" s="188" t="s">
        <v>3476</v>
      </c>
      <c r="B8" s="188" t="s">
        <v>3476</v>
      </c>
      <c r="C8" s="21">
        <f>MIN(LISTE!C:C)</f>
        <v>40239</v>
      </c>
      <c r="D8" s="21">
        <f>MIN(LISTE!D:D)</f>
        <v>0</v>
      </c>
      <c r="E8" s="21">
        <f>MIN(LISTE!E:E)</f>
        <v>633</v>
      </c>
      <c r="F8" s="21">
        <f>MIN(LISTE!F:F)</f>
        <v>75</v>
      </c>
      <c r="G8" s="21">
        <f>MIN(LISTE!G:G)</f>
        <v>505</v>
      </c>
      <c r="H8" s="21">
        <f>MIN(LISTE!H:H)</f>
        <v>-3</v>
      </c>
      <c r="I8" s="21">
        <f>MIN(LISTE!I:I)</f>
        <v>-28714873</v>
      </c>
      <c r="J8" s="21">
        <f>MIN(LISTE!J:J)</f>
        <v>749</v>
      </c>
      <c r="K8" s="21">
        <f>MIN(LISTE!K:K)</f>
        <v>670</v>
      </c>
      <c r="L8" s="21">
        <f>MIN(LISTE!L:L)</f>
        <v>1168</v>
      </c>
      <c r="M8" s="21">
        <f>MIN(LISTE!M:M)</f>
        <v>7</v>
      </c>
      <c r="N8" s="21">
        <f>MIN(LISTE!N:N)</f>
        <v>8</v>
      </c>
      <c r="O8" s="21">
        <f>MIN(LISTE!O:O)</f>
        <v>7</v>
      </c>
      <c r="P8" s="21">
        <f>MIN(LISTE!P:P)</f>
        <v>8</v>
      </c>
      <c r="Q8" s="21">
        <f>MIN(LISTE!Q:Q)</f>
        <v>-557906</v>
      </c>
      <c r="R8" s="21">
        <f>MIN(LISTE!R:R)</f>
        <v>-25000</v>
      </c>
      <c r="S8" s="21">
        <f>MIN(LISTE!S:S)</f>
        <v>92</v>
      </c>
      <c r="T8" s="21">
        <f>MIN(LISTE!T:T)</f>
        <v>250</v>
      </c>
      <c r="U8" s="21">
        <f>MIN(LISTE!U:U)</f>
        <v>1</v>
      </c>
      <c r="V8" s="21">
        <f>MIN(LISTE!V:V)</f>
        <v>10</v>
      </c>
      <c r="W8" s="21">
        <f>MIN(LISTE!W:W)</f>
        <v>10</v>
      </c>
      <c r="X8" s="21">
        <f>MIN(LISTE!X:X)</f>
        <v>1</v>
      </c>
      <c r="Y8" s="21">
        <f>MIN(LISTE!Y:Y)</f>
        <v>15</v>
      </c>
      <c r="Z8" s="21">
        <f>MIN(LISTE!Z:Z)</f>
        <v>15</v>
      </c>
      <c r="AA8" s="21">
        <f>MIN(LISTE!AA:AA)</f>
        <v>15</v>
      </c>
      <c r="AB8" s="21">
        <f>MIN(LISTE!AB:AB)</f>
        <v>15</v>
      </c>
      <c r="AC8" s="21">
        <f>MIN(LISTE!AC:AC)</f>
        <v>0</v>
      </c>
      <c r="AD8" s="21">
        <f>MIN(LISTE!AD:AD)</f>
        <v>61</v>
      </c>
      <c r="AE8" s="21">
        <f>MIN(LISTE!AE:AE)</f>
        <v>572</v>
      </c>
      <c r="AF8" s="21">
        <f>MIN(LISTE!AF:AF)</f>
        <v>448</v>
      </c>
      <c r="AG8" s="21">
        <f>MIN(LISTE!AG:AG)</f>
        <v>0</v>
      </c>
      <c r="AH8" s="21">
        <f>MIN(LISTE!AH:AH)</f>
        <v>901</v>
      </c>
      <c r="AI8" s="21">
        <f>MIN(LISTE!AI:AI)</f>
        <v>110472</v>
      </c>
      <c r="AJ8" s="21">
        <f>MIN(LISTE!AJ:AJ)</f>
        <v>901</v>
      </c>
      <c r="AK8" s="21">
        <f>MIN(LISTE!AK:AK)</f>
        <v>5647</v>
      </c>
      <c r="AL8" s="21">
        <f>MIN(LISTE!AL:AL)</f>
        <v>233</v>
      </c>
      <c r="AM8" s="21">
        <f>MIN(LISTE!AM:AM)</f>
        <v>18</v>
      </c>
      <c r="AN8" s="21">
        <f>MIN(LISTE!AN:AN)</f>
        <v>233</v>
      </c>
      <c r="AO8" s="21">
        <f>MIN(LISTE!AO:AO)</f>
        <v>0</v>
      </c>
      <c r="AP8" s="21">
        <f>MIN(LISTE!AP:AP)</f>
        <v>5</v>
      </c>
      <c r="AQ8" s="21">
        <f>MIN(LISTE!AQ:AQ)</f>
        <v>5</v>
      </c>
      <c r="AR8" s="21">
        <f>MIN(LISTE!AR:AR)</f>
        <v>5</v>
      </c>
      <c r="AS8" s="21">
        <f>MIN(LISTE!AS:AS)</f>
        <v>5</v>
      </c>
      <c r="AT8" s="21">
        <f>MIN(LISTE!AT:AT)</f>
        <v>5</v>
      </c>
      <c r="AU8" s="21">
        <f>MIN(LISTE!AU:AU)</f>
        <v>5</v>
      </c>
      <c r="AV8" s="21">
        <f>MIN(LISTE!AV:AV)</f>
        <v>910</v>
      </c>
      <c r="AW8" s="21">
        <f>MIN(LISTE!AW:AW)</f>
        <v>8000</v>
      </c>
      <c r="AX8" s="21">
        <f>MIN(LISTE!AX:AX)</f>
        <v>12123</v>
      </c>
      <c r="AY8" s="21">
        <f>MIN(LISTE!AY:AY)</f>
        <v>0</v>
      </c>
      <c r="AZ8" s="21">
        <f>MIN(LISTE!AZ:AZ)</f>
        <v>97</v>
      </c>
      <c r="BA8" s="21">
        <f>MIN(LISTE!BA:BA)</f>
        <v>65</v>
      </c>
      <c r="BB8" s="21">
        <f>MIN(LISTE!BB:BB)</f>
        <v>-3</v>
      </c>
      <c r="BC8" s="21">
        <f>MIN(LISTE!BC:BC)</f>
        <v>-4000</v>
      </c>
      <c r="BD8" s="21">
        <f>MIN(LISTE!BD:BD)</f>
        <v>-51915</v>
      </c>
      <c r="BE8" s="21">
        <f>MIN(LISTE!BE:BE)</f>
        <v>296</v>
      </c>
      <c r="BF8" s="21">
        <f>MIN(LISTE!BF:BF)</f>
        <v>-3</v>
      </c>
      <c r="BG8" s="21">
        <f>MIN(LISTE!BG:BG)</f>
        <v>26640</v>
      </c>
      <c r="BH8" s="21">
        <f>MIN(LISTE!BH:BH)</f>
        <v>32</v>
      </c>
      <c r="BI8" s="21">
        <f>MIN(LISTE!BI:BI)</f>
        <v>35</v>
      </c>
      <c r="BJ8" s="21">
        <f>MIN(LISTE!BJ:BJ)</f>
        <v>29000</v>
      </c>
      <c r="BK8" s="21">
        <f>MIN(LISTE!BK:BK)</f>
        <v>1729</v>
      </c>
      <c r="BL8" s="21">
        <f>MIN(LISTE!BL:BL)</f>
        <v>2310</v>
      </c>
      <c r="BM8" s="21">
        <f>MIN(LISTE!BM:BM)</f>
        <v>2851</v>
      </c>
      <c r="BN8" s="21">
        <f>MIN(LISTE!BN:BN)</f>
        <v>17940</v>
      </c>
      <c r="BO8" s="21">
        <f>MIN(LISTE!BO:BO)</f>
        <v>3200</v>
      </c>
      <c r="BP8" s="21">
        <f>MIN(LISTE!BP:BP)</f>
        <v>1044</v>
      </c>
      <c r="BQ8" s="21">
        <f>MIN(LISTE!BQ:BQ)</f>
        <v>15</v>
      </c>
      <c r="BR8" s="21">
        <f>MIN(LISTE!BR:BR)</f>
        <v>2000</v>
      </c>
      <c r="BS8" s="21">
        <f>MIN(LISTE!BS:BS)</f>
        <v>0</v>
      </c>
      <c r="BT8" s="21">
        <f>MIN(LISTE!BT:BT)</f>
        <v>0</v>
      </c>
      <c r="BU8" s="21">
        <f>MIN(LISTE!BU:BU)</f>
        <v>0</v>
      </c>
      <c r="BV8" s="21">
        <f>MIN(LISTE!BV:BV)</f>
        <v>0</v>
      </c>
      <c r="BW8" s="21">
        <f>MIN(LISTE!BW:BW)</f>
        <v>0</v>
      </c>
      <c r="BX8" s="21">
        <f>MIN(LISTE!BX:BX)</f>
        <v>89</v>
      </c>
      <c r="BY8" s="21">
        <f>MIN(LISTE!BY:BY)</f>
        <v>60</v>
      </c>
      <c r="BZ8" s="21">
        <f>MIN(LISTE!BZ:BZ)</f>
        <v>-3</v>
      </c>
      <c r="CA8" s="21">
        <f>MIN(LISTE!CA:CA)</f>
        <v>-2</v>
      </c>
      <c r="CB8" s="21">
        <f>MIN(LISTE!CB:CB)</f>
        <v>1</v>
      </c>
      <c r="CC8" s="21">
        <f>MIN(LISTE!CC:CC)</f>
        <v>-2</v>
      </c>
      <c r="CD8" s="21">
        <f>MIN(LISTE!CD:CD)</f>
        <v>-4627974</v>
      </c>
      <c r="CE8" s="21">
        <f>MIN(LISTE!CE:CE)</f>
        <v>57</v>
      </c>
      <c r="CF8" s="21">
        <f>MIN(LISTE!CF:CF)</f>
        <v>14</v>
      </c>
      <c r="CG8" s="21">
        <f>MIN(LISTE!CG:CG)</f>
        <v>-5</v>
      </c>
      <c r="CH8" s="21">
        <f>MIN(LISTE!CH:CH)</f>
        <v>211</v>
      </c>
      <c r="CI8" s="21">
        <f>MIN(LISTE!CI:CI)</f>
        <v>34516</v>
      </c>
      <c r="CJ8" s="21">
        <f>MIN(LISTE!CJ:CJ)</f>
        <v>27116</v>
      </c>
      <c r="CK8" s="21">
        <f>MIN(LISTE!CK:CK)</f>
        <v>34516</v>
      </c>
      <c r="CL8" s="21">
        <f>MIN(LISTE!CL:CL)</f>
        <v>0</v>
      </c>
      <c r="CM8" s="21">
        <f>MIN(LISTE!CM:CM)</f>
        <v>5660</v>
      </c>
      <c r="CN8" s="21">
        <f>MIN(LISTE!CN:CN)</f>
        <v>6343</v>
      </c>
      <c r="CO8" s="21">
        <f>MIN(LISTE!CO:CO)</f>
        <v>10006</v>
      </c>
      <c r="CP8" s="21">
        <f>MIN(LISTE!CP:CP)</f>
        <v>690</v>
      </c>
      <c r="CQ8" s="21">
        <f>MIN(LISTE!CQ:CQ)</f>
        <v>1</v>
      </c>
      <c r="CR8" s="21">
        <f>MIN(LISTE!CR:CR)</f>
        <v>8</v>
      </c>
      <c r="CS8" s="21">
        <f>MIN(LISTE!CS:CS)</f>
        <v>1</v>
      </c>
      <c r="CT8" s="21">
        <f>MIN(LISTE!CT:CT)</f>
        <v>4000</v>
      </c>
      <c r="CU8" s="21">
        <f>MIN(LISTE!CU:CU)</f>
        <v>1418</v>
      </c>
      <c r="CV8" s="21">
        <f>MIN(LISTE!CV:CV)</f>
        <v>2035</v>
      </c>
      <c r="CW8" s="21">
        <f>MIN(LISTE!CW:CW)</f>
        <v>4000</v>
      </c>
      <c r="CX8" s="21">
        <f>MIN(LISTE!CX:CX)</f>
        <v>671</v>
      </c>
      <c r="CY8" s="21">
        <f>MIN(LISTE!CY:CY)</f>
        <v>73</v>
      </c>
      <c r="CZ8" s="21">
        <f>MIN(LISTE!CZ:CZ)</f>
        <v>26</v>
      </c>
      <c r="DA8" s="21">
        <f>MIN(LISTE!DA:DA)</f>
        <v>1750</v>
      </c>
      <c r="DB8" s="21">
        <f>MIN(LISTE!DB:DB)</f>
        <v>19575</v>
      </c>
      <c r="DC8" s="21">
        <f>MIN(LISTE!DC:DC)</f>
        <v>1476</v>
      </c>
      <c r="DD8" s="21">
        <f>MIN(LISTE!DD:DD)</f>
        <v>1188</v>
      </c>
      <c r="DE8" s="21">
        <f>MIN(LISTE!DE:DE)</f>
        <v>2000</v>
      </c>
      <c r="DF8" s="21">
        <f>MIN(LISTE!DF:DF)</f>
        <v>406</v>
      </c>
      <c r="DG8" s="21">
        <f>MIN(LISTE!DG:DG)</f>
        <v>1040</v>
      </c>
      <c r="DH8" s="21">
        <f>MIN(LISTE!DH:DH)</f>
        <v>994</v>
      </c>
      <c r="DI8" s="21">
        <f>MIN(LISTE!DI:DI)</f>
        <v>2529</v>
      </c>
      <c r="DJ8" s="21">
        <f>MIN(LISTE!DJ:DJ)</f>
        <v>3774</v>
      </c>
      <c r="DK8" s="21">
        <f>MIN(LISTE!DK:DK)</f>
        <v>3759</v>
      </c>
      <c r="DL8" s="21">
        <f>MIN(LISTE!DL:DL)</f>
        <v>4507</v>
      </c>
      <c r="DM8" s="21">
        <f>MIN(LISTE!DM:DM)</f>
        <v>3759</v>
      </c>
      <c r="DN8" s="21">
        <f>MIN(LISTE!DN:DN)</f>
        <v>2913</v>
      </c>
      <c r="DO8" s="21">
        <f>MIN(LISTE!DO:DO)</f>
        <v>31</v>
      </c>
      <c r="DP8" s="21">
        <f>MIN(LISTE!DP:DP)</f>
        <v>21</v>
      </c>
      <c r="DQ8" s="21">
        <f>MIN(LISTE!DQ:DQ)</f>
        <v>1395</v>
      </c>
      <c r="DR8" s="21">
        <f>MIN(LISTE!DR:DR)</f>
        <v>1500</v>
      </c>
      <c r="DS8" s="21">
        <f>MIN(LISTE!DS:DS)</f>
        <v>-400000</v>
      </c>
      <c r="DT8" s="21">
        <f>MIN(LISTE!DT:DT)</f>
        <v>4812</v>
      </c>
      <c r="DU8" s="21">
        <f>MIN(LISTE!DU:DU)</f>
        <v>1500</v>
      </c>
      <c r="DV8" s="21">
        <f>MIN(LISTE!DV:DV)</f>
        <v>3604</v>
      </c>
      <c r="DW8" s="21">
        <f>MIN(LISTE!DW:DW)</f>
        <v>99</v>
      </c>
      <c r="DX8" s="21">
        <f>MIN(LISTE!DX:DX)</f>
        <v>275</v>
      </c>
      <c r="DY8" s="21">
        <f>MIN(LISTE!DY:DY)</f>
        <v>99</v>
      </c>
      <c r="DZ8" s="21">
        <f>MIN(LISTE!DZ:DZ)</f>
        <v>164781</v>
      </c>
      <c r="EA8" s="21">
        <f>MIN(LISTE!EA:EA)</f>
        <v>471024</v>
      </c>
      <c r="EB8" s="21">
        <f>MIN(LISTE!EB:EB)</f>
        <v>164781</v>
      </c>
      <c r="EC8" s="21">
        <f>MIN(LISTE!EC:EC)</f>
        <v>2982</v>
      </c>
      <c r="ED8" s="21">
        <f>MIN(LISTE!ED:ED)</f>
        <v>4862</v>
      </c>
      <c r="EE8" s="21">
        <f>MIN(LISTE!EE:EE)</f>
        <v>6000</v>
      </c>
      <c r="EF8" s="21">
        <f>MIN(LISTE!EF:EF)</f>
        <v>4862</v>
      </c>
      <c r="EG8" s="21">
        <f>MIN(LISTE!EG:EG)</f>
        <v>1124000</v>
      </c>
      <c r="EH8" s="21">
        <f>MIN(LISTE!EH:EH)</f>
        <v>3349766</v>
      </c>
      <c r="EI8" s="21">
        <f>MIN(LISTE!EI:EI)</f>
        <v>260000</v>
      </c>
      <c r="EJ8" s="21">
        <f>MIN(LISTE!EJ:EJ)</f>
        <v>-5</v>
      </c>
      <c r="EK8" s="21">
        <f>MIN(LISTE!EK:EK)</f>
        <v>-47663587</v>
      </c>
      <c r="EL8" s="21">
        <f>MIN(LISTE!EL:EL)</f>
        <v>749</v>
      </c>
      <c r="EM8" s="21">
        <f>MIN(LISTE!EM:EM)</f>
        <v>1604</v>
      </c>
      <c r="EN8" s="21">
        <f>MIN(LISTE!EN:EN)</f>
        <v>-3</v>
      </c>
      <c r="EO8" s="21">
        <f>MIN(LISTE!EO:EO)</f>
        <v>120</v>
      </c>
      <c r="EP8" s="21">
        <f>MIN(LISTE!EP:EP)</f>
        <v>7608</v>
      </c>
      <c r="EQ8" s="21">
        <f>MIN(LISTE!EQ:EQ)</f>
        <v>7375</v>
      </c>
      <c r="ER8" s="21">
        <f>MIN(LISTE!ER:ER)</f>
        <v>-3</v>
      </c>
      <c r="ES8" s="21">
        <f>MIN(LISTE!ES:ES)</f>
        <v>-47863587</v>
      </c>
      <c r="ET8" s="21">
        <f>MIN(LISTE!ET:ET)</f>
        <v>14637</v>
      </c>
      <c r="EU8" s="21">
        <f>MIN(LISTE!EU:EU)</f>
        <v>-36246000</v>
      </c>
      <c r="EV8" s="21">
        <f>MIN(LISTE!EV:EV)</f>
        <v>-3</v>
      </c>
      <c r="EW8" s="21">
        <f>MIN(LISTE!EW:EW)</f>
        <v>1788</v>
      </c>
      <c r="EX8" s="21">
        <f>MIN(LISTE!EX:EX)</f>
        <v>955</v>
      </c>
      <c r="EY8" s="21">
        <f>MIN(LISTE!EY:EY)</f>
        <v>1201</v>
      </c>
      <c r="EZ8" s="21">
        <f>MIN(LISTE!EZ:EZ)</f>
        <v>20000</v>
      </c>
      <c r="FA8" s="21">
        <f>MIN(LISTE!FA:FA)</f>
        <v>33909185</v>
      </c>
      <c r="FB8" s="21">
        <f>MIN(LISTE!FB:FB)</f>
        <v>2185</v>
      </c>
      <c r="FC8" s="21">
        <f>MIN(LISTE!FC:FC)</f>
        <v>2</v>
      </c>
      <c r="FD8" s="21">
        <f>MIN(LISTE!FD:FD)</f>
        <v>-5</v>
      </c>
      <c r="FE8" s="21">
        <f>MIN(LISTE!FE:FE)</f>
        <v>41</v>
      </c>
      <c r="FF8" s="21">
        <f>MIN(LISTE!FF:FF)</f>
        <v>-3</v>
      </c>
      <c r="FG8" s="21">
        <f>MIN(LISTE!FG:FG)</f>
        <v>9</v>
      </c>
      <c r="FH8" s="21">
        <f>MIN(LISTE!FH:FH)</f>
        <v>-3</v>
      </c>
      <c r="FI8" s="21">
        <f>MIN(LISTE!FI:FI)</f>
        <v>-35038000</v>
      </c>
      <c r="FJ8" s="21">
        <f>MIN(LISTE!FJ:FJ)</f>
        <v>-19658000</v>
      </c>
      <c r="FK8" s="21">
        <f>MIN(LISTE!FK:FK)</f>
        <v>-7852659</v>
      </c>
      <c r="FL8" s="21">
        <f>MIN(LISTE!FL:FL)</f>
        <v>-1775000</v>
      </c>
      <c r="FM8" s="21">
        <f>MIN(LISTE!FM:FM)</f>
        <v>-227776</v>
      </c>
      <c r="FN8" s="21">
        <f>MIN(LISTE!FN:FN)</f>
        <v>-1586799</v>
      </c>
      <c r="FO8" s="21">
        <f>MIN(LISTE!FO:FO)</f>
        <v>-195561</v>
      </c>
      <c r="FP8" s="21">
        <f>MIN(LISTE!FP:FP)</f>
        <v>-4730265</v>
      </c>
      <c r="FQ8" s="21">
        <f>MIN(LISTE!FQ:FQ)</f>
        <v>-114418000</v>
      </c>
      <c r="FR8" s="21">
        <f>MIN(LISTE!FR:FR)</f>
        <v>-10929000</v>
      </c>
      <c r="FS8" s="21">
        <f>MIN(LISTE!FS:FS)</f>
        <v>-2000</v>
      </c>
      <c r="FT8" s="21">
        <f>MIN(LISTE!FT:FT)</f>
        <v>-1</v>
      </c>
      <c r="FU8" s="21">
        <f>MIN(LISTE!FU:FU)</f>
        <v>-673205</v>
      </c>
      <c r="FV8" s="21">
        <f>MIN(LISTE!FV:FV)</f>
        <v>-1243745</v>
      </c>
      <c r="FW8" s="21">
        <f>MIN(LISTE!FW:FW)</f>
        <v>-408000000</v>
      </c>
      <c r="FX8" s="21">
        <f>MIN(LISTE!FX:FX)</f>
        <v>-597000000</v>
      </c>
      <c r="FY8" s="21">
        <f>MIN(LISTE!FY:FY)</f>
        <v>-3304000</v>
      </c>
      <c r="FZ8" s="21">
        <f>MIN(LISTE!FZ:FZ)</f>
        <v>-7650000</v>
      </c>
      <c r="GA8" s="21">
        <f>MIN(LISTE!GA:GA)</f>
        <v>-885478</v>
      </c>
      <c r="GB8" s="21">
        <f>MIN(LISTE!GB:GB)</f>
        <v>-889311</v>
      </c>
      <c r="GC8" s="21">
        <f>MIN(LISTE!GC:GC)</f>
        <v>3</v>
      </c>
      <c r="GD8" s="21">
        <f>MIN(LISTE!GD:GD)</f>
        <v>322</v>
      </c>
      <c r="GE8" s="21">
        <f>MIN(LISTE!GE:GE)</f>
        <v>12</v>
      </c>
      <c r="GF8" s="21">
        <f>MIN(LISTE!GF:GF)</f>
        <v>140</v>
      </c>
      <c r="GG8" s="21">
        <f>MIN(LISTE!GG:GG)</f>
        <v>-14895000</v>
      </c>
      <c r="GH8" s="21">
        <f>MIN(LISTE!GH:GH)</f>
        <v>-8088000</v>
      </c>
      <c r="GI8" s="21">
        <f>MIN(LISTE!GI:GI)</f>
        <v>0</v>
      </c>
      <c r="GJ8" s="21">
        <f>MIN(LISTE!GJ:GJ)</f>
        <v>-3075</v>
      </c>
      <c r="GK8" s="21">
        <f>MIN(LISTE!GK:GK)</f>
        <v>-1</v>
      </c>
      <c r="GL8" s="21">
        <f>MIN(LISTE!GL:GL)</f>
        <v>317</v>
      </c>
      <c r="GM8" s="21">
        <f>MIN(LISTE!GM:GM)</f>
        <v>-12052000</v>
      </c>
      <c r="GN8" s="21">
        <f>MIN(LISTE!GN:GN)</f>
        <v>-29821000</v>
      </c>
      <c r="GO8" s="21">
        <f>MIN(LISTE!GO:GO)</f>
        <v>-3359000</v>
      </c>
      <c r="GP8" s="21">
        <f>MIN(LISTE!GP:GP)</f>
        <v>-10789000</v>
      </c>
      <c r="GQ8" s="21">
        <f>MIN(LISTE!GQ:GQ)</f>
        <v>-141696</v>
      </c>
      <c r="GR8" s="21">
        <f>MIN(LISTE!GR:GR)</f>
        <v>-332000</v>
      </c>
      <c r="GS8" s="21">
        <f>MIN(LISTE!GS:GS)</f>
        <v>-14895000</v>
      </c>
      <c r="GT8" s="21">
        <f>MIN(LISTE!GT:GT)</f>
        <v>-28588000</v>
      </c>
      <c r="GU8" s="21">
        <f>MIN(LISTE!GU:GU)</f>
        <v>-1180178</v>
      </c>
      <c r="GV8" s="21">
        <f>MIN(LISTE!GV:GV)</f>
        <v>-6317064</v>
      </c>
      <c r="GW8" s="21">
        <f>MIN(LISTE!GW:GW)</f>
        <v>10</v>
      </c>
      <c r="GX8" s="21">
        <f>MIN(LISTE!GX:GX)</f>
        <v>21</v>
      </c>
      <c r="GY8" s="21">
        <f>MIN(LISTE!GY:GY)</f>
        <v>-59095000</v>
      </c>
      <c r="GZ8" s="21">
        <f>MIN(LISTE!GZ:GZ)</f>
        <v>-47048000</v>
      </c>
      <c r="HA8" s="21">
        <f>MIN(LISTE!HA:HA)</f>
        <v>-118326</v>
      </c>
      <c r="HB8" s="21">
        <f>MIN(LISTE!HB:HB)</f>
        <v>-95544</v>
      </c>
      <c r="HC8" s="21">
        <f>MIN(LISTE!HC:HC)</f>
        <v>-619465000</v>
      </c>
      <c r="HD8" s="21">
        <f>MIN(LISTE!HD:HD)</f>
        <v>-589103000</v>
      </c>
      <c r="HE8" s="21">
        <f>MIN(LISTE!HE:HE)</f>
        <v>-18536000</v>
      </c>
      <c r="HF8" s="21">
        <f>MIN(LISTE!HF:HF)</f>
        <v>-10620000</v>
      </c>
      <c r="HG8" s="21">
        <f>MIN(LISTE!HG:HG)</f>
        <v>-446680</v>
      </c>
      <c r="HH8" s="21">
        <f>MIN(LISTE!HH:HH)</f>
        <v>-455562</v>
      </c>
      <c r="HI8" s="21">
        <f>MIN(LISTE!HI:HI)</f>
        <v>-284300000</v>
      </c>
      <c r="HJ8" s="21">
        <f>MIN(LISTE!HJ:HJ)</f>
        <v>-592000000</v>
      </c>
      <c r="HK8" s="21">
        <f>MIN(LISTE!HK:HK)</f>
        <v>-18000</v>
      </c>
      <c r="HL8" s="21">
        <f>MIN(LISTE!HL:HL)</f>
        <v>366</v>
      </c>
      <c r="HM8" s="21">
        <f>MIN(LISTE!HM:HM)</f>
        <v>-563</v>
      </c>
      <c r="HN8" s="21">
        <f>MIN(LISTE!HN:HN)</f>
        <v>-181</v>
      </c>
      <c r="HO8" s="21">
        <f>MIN(LISTE!HO:HO)</f>
        <v>-247450000</v>
      </c>
      <c r="HP8" s="21">
        <f>MIN(LISTE!HP:HP)</f>
        <v>-223707000</v>
      </c>
      <c r="HQ8" s="21">
        <f>MIN(LISTE!HQ:HQ)</f>
        <v>-1</v>
      </c>
      <c r="HR8" s="21">
        <f>MIN(LISTE!HR:HR)</f>
        <v>3</v>
      </c>
      <c r="HS8" s="21">
        <f>MIN(LISTE!HS:HS)</f>
        <v>11</v>
      </c>
      <c r="HT8" s="21">
        <f>MIN(LISTE!HT:HT)</f>
        <v>-14721</v>
      </c>
      <c r="HU8" s="21">
        <f>MIN(LISTE!HU:HU)</f>
        <v>-488400000</v>
      </c>
      <c r="HV8" s="21">
        <f>MIN(LISTE!HV:HV)</f>
        <v>-456100000</v>
      </c>
      <c r="HW8" s="21">
        <f>MIN(LISTE!HW:HW)</f>
        <v>-3294000</v>
      </c>
      <c r="HX8" s="21">
        <f>MIN(LISTE!HX:HX)</f>
        <v>-4486000</v>
      </c>
      <c r="HY8" s="21">
        <f>MIN(LISTE!HY:HY)</f>
        <v>-42329</v>
      </c>
      <c r="HZ8" s="21">
        <f>MIN(LISTE!HZ:HZ)</f>
        <v>-120759</v>
      </c>
      <c r="IA8" s="21">
        <f>MIN(LISTE!IA:IA)</f>
        <v>-713000</v>
      </c>
      <c r="IB8" s="21">
        <f>MIN(LISTE!IB:IB)</f>
        <v>-160162</v>
      </c>
      <c r="IC8" s="21">
        <f>MIN(LISTE!IC:IC)</f>
        <v>-4056</v>
      </c>
      <c r="ID8" s="21">
        <f>MIN(LISTE!ID:ID)</f>
        <v>-38615</v>
      </c>
      <c r="IE8" s="21">
        <f>MIN(LISTE!IE:IE)</f>
        <v>-54419000</v>
      </c>
      <c r="IF8" s="21">
        <f>MIN(LISTE!IF:IF)</f>
        <v>-51629000</v>
      </c>
      <c r="IG8" s="21">
        <f>MIN(LISTE!IG:IG)</f>
        <v>-18950000</v>
      </c>
      <c r="IH8" s="21">
        <f>MIN(LISTE!IH:IH)</f>
        <v>-20382000</v>
      </c>
      <c r="II8" s="21">
        <f>MIN(LISTE!II:II)</f>
        <v>299</v>
      </c>
      <c r="IJ8" s="21">
        <f>MIN(LISTE!IJ:IJ)</f>
        <v>137</v>
      </c>
      <c r="IK8" s="21">
        <f>MIN(LISTE!IK:IK)</f>
        <v>-47259</v>
      </c>
      <c r="IL8" s="21">
        <f>MIN(LISTE!IL:IL)</f>
        <v>621</v>
      </c>
      <c r="IM8" s="21">
        <f>MIN(LISTE!IM:IM)</f>
        <v>-15051796</v>
      </c>
      <c r="IN8" s="21">
        <f>MIN(LISTE!IN:IN)</f>
        <v>-10635000</v>
      </c>
      <c r="IO8" s="21">
        <f>MIN(LISTE!IO:IO)</f>
        <v>-7168</v>
      </c>
      <c r="IP8" s="21">
        <f>MIN(LISTE!IP:IP)</f>
        <v>-1877</v>
      </c>
      <c r="IQ8" s="21">
        <f>MIN(LISTE!IQ:IQ)</f>
        <v>-523124</v>
      </c>
      <c r="IR8" s="21">
        <f>MIN(LISTE!IR:IR)</f>
        <v>-151600</v>
      </c>
      <c r="IS8" s="21">
        <f>MIN(LISTE!IS:IS)</f>
        <v>-1</v>
      </c>
      <c r="IT8" s="21">
        <f>MIN(LISTE!IT:IT)</f>
        <v>14</v>
      </c>
      <c r="IU8" s="21">
        <f>MIN(LISTE!IU:IU)</f>
        <v>-22649000</v>
      </c>
      <c r="IV8" s="21">
        <f>MIN(LISTE!IV:IV)</f>
        <v>-501000000</v>
      </c>
      <c r="IW8" s="21">
        <f>MIN(LISTE!IW:IW)</f>
        <v>-10554000</v>
      </c>
      <c r="IX8" s="21">
        <f>MIN(LISTE!IX:IX)</f>
        <v>-226000000</v>
      </c>
      <c r="IY8" s="21">
        <f>MIN(LISTE!IY:IY)</f>
        <v>-432000000</v>
      </c>
      <c r="IZ8" s="21">
        <f>MIN(LISTE!IZ:IZ)</f>
        <v>-374000000</v>
      </c>
      <c r="JA8" s="21">
        <f>MIN(LISTE!JA:JA)</f>
        <v>-101987</v>
      </c>
      <c r="JB8" s="21">
        <f>MIN(LISTE!JB:JB)</f>
        <v>-56208</v>
      </c>
      <c r="JC8" s="21">
        <f>MIN(LISTE!JC:JC)</f>
        <v>5</v>
      </c>
      <c r="JD8" s="21">
        <f>MIN(LISTE!JD:JD)</f>
        <v>580</v>
      </c>
      <c r="JE8" s="21">
        <f>MIN(LISTE!JE:JE)</f>
        <v>-779080000</v>
      </c>
      <c r="JF8" s="21">
        <f>MIN(LISTE!JF:JF)</f>
        <v>-752515000</v>
      </c>
      <c r="JG8" s="21">
        <f>MIN(LISTE!JG:JG)</f>
        <v>-1042</v>
      </c>
      <c r="JH8" s="21">
        <f>MIN(LISTE!JH:JH)</f>
        <v>9</v>
      </c>
      <c r="JI8" s="21">
        <f>MIN(LISTE!JI:JI)</f>
        <v>-2179830000</v>
      </c>
      <c r="JJ8" s="21">
        <f>MIN(LISTE!JJ:JJ)</f>
        <v>-1864125000</v>
      </c>
      <c r="JK8" s="21">
        <f>MIN(LISTE!JK:JK)</f>
        <v>-138000000</v>
      </c>
      <c r="JL8" s="21">
        <f>MIN(LISTE!JL:JL)</f>
        <v>-348000000</v>
      </c>
      <c r="JM8" s="21">
        <f>MIN(LISTE!JM:JM)</f>
        <v>-14208862</v>
      </c>
      <c r="JN8" s="21">
        <f>MIN(LISTE!JN:JN)</f>
        <v>-7754613</v>
      </c>
      <c r="JO8" s="21">
        <f>MIN(LISTE!JO:JO)</f>
        <v>-841000</v>
      </c>
      <c r="JP8" s="21">
        <f>MIN(LISTE!JP:JP)</f>
        <v>-1099000</v>
      </c>
      <c r="JQ8" s="21">
        <f>MIN(LISTE!JQ:JQ)</f>
        <v>-5157460</v>
      </c>
      <c r="JR8" s="21">
        <f>MIN(LISTE!JR:JR)</f>
        <v>-13800027</v>
      </c>
      <c r="JS8" s="21">
        <f>MIN(LISTE!JS:JS)</f>
        <v>-6563648</v>
      </c>
      <c r="JT8" s="21">
        <f>MIN(LISTE!JT:JT)</f>
        <v>-10446000</v>
      </c>
      <c r="JU8" s="21">
        <f>MIN(LISTE!JU:JU)</f>
        <v>257476</v>
      </c>
      <c r="JV8" s="21">
        <f>MIN(LISTE!JV:JV)</f>
        <v>218214</v>
      </c>
      <c r="JW8" s="21">
        <f>MIN(LISTE!JW:JW)</f>
        <v>15098</v>
      </c>
      <c r="JX8" s="21">
        <f>MIN(LISTE!JX:JX)</f>
        <v>14581</v>
      </c>
      <c r="JY8" s="21">
        <f>MIN(LISTE!JY:JY)</f>
        <v>2398</v>
      </c>
      <c r="JZ8" s="21">
        <f>MIN(LISTE!JZ:JZ)</f>
        <v>-299</v>
      </c>
      <c r="KA8" s="21">
        <f>MIN(LISTE!KA:KA)</f>
        <v>-778</v>
      </c>
      <c r="KB8" s="21">
        <f>MIN(LISTE!KB:KB)</f>
        <v>-15322</v>
      </c>
      <c r="KC8" s="21">
        <f>MIN(LISTE!KC:KC)</f>
        <v>2111</v>
      </c>
      <c r="KD8" s="21">
        <f>MIN(LISTE!KD:KD)</f>
        <v>82481</v>
      </c>
      <c r="KE8" s="21">
        <f>MIN(LISTE!KE:KE)</f>
        <v>460</v>
      </c>
      <c r="KF8" s="21">
        <f>MIN(LISTE!KF:KF)</f>
        <v>389</v>
      </c>
      <c r="KG8" s="21">
        <f>MIN(LISTE!KG:KG)</f>
        <v>80</v>
      </c>
      <c r="KH8" s="21">
        <f>MIN(LISTE!KH:KH)</f>
        <v>828036</v>
      </c>
      <c r="KI8" s="21">
        <f>MIN(LISTE!KI:KI)</f>
        <v>35529</v>
      </c>
      <c r="KJ8" s="21">
        <f>MIN(LISTE!KJ:KJ)</f>
        <v>32195</v>
      </c>
      <c r="KK8" s="21">
        <f>MIN(LISTE!KK:KK)</f>
        <v>-79</v>
      </c>
      <c r="KL8" s="21">
        <f>MIN(LISTE!KL:KL)</f>
        <v>1</v>
      </c>
      <c r="KM8" s="21">
        <f>MIN(LISTE!KM:KM)</f>
        <v>310000</v>
      </c>
      <c r="KN8" s="21">
        <f>MIN(LISTE!KN:KN)</f>
        <v>310000</v>
      </c>
      <c r="KO8" s="21">
        <f>MIN(LISTE!KO:KO)</f>
        <v>0</v>
      </c>
      <c r="KP8" s="21">
        <f>MIN(LISTE!KP:KP)</f>
        <v>0</v>
      </c>
      <c r="KQ8" s="21">
        <f>MIN(LISTE!KQ:KQ)</f>
        <v>137</v>
      </c>
      <c r="KR8" s="21">
        <f>MIN(LISTE!KR:KR)</f>
        <v>182</v>
      </c>
      <c r="KS8" s="21">
        <f>MIN(LISTE!KS:KS)</f>
        <v>638</v>
      </c>
      <c r="KT8" s="21">
        <f>MIN(LISTE!KT:KT)</f>
        <v>638</v>
      </c>
      <c r="KU8" s="21">
        <f>MIN(LISTE!KU:KU)</f>
        <v>-31389000</v>
      </c>
      <c r="KV8" s="21">
        <f>MIN(LISTE!KV:KV)</f>
        <v>-31028000</v>
      </c>
      <c r="KW8" s="21">
        <f>MIN(LISTE!KW:KW)</f>
        <v>6431</v>
      </c>
      <c r="KX8" s="21">
        <f>MIN(LISTE!KX:KX)</f>
        <v>6431</v>
      </c>
      <c r="KY8" s="21">
        <f>MIN(LISTE!KY:KY)</f>
        <v>-917</v>
      </c>
      <c r="KZ8" s="21">
        <f>MIN(LISTE!KZ:KZ)</f>
        <v>17</v>
      </c>
      <c r="LA8" s="21">
        <f>MIN(LISTE!LA:LA)</f>
        <v>46</v>
      </c>
      <c r="LB8" s="21">
        <f>MIN(LISTE!LB:LB)</f>
        <v>46</v>
      </c>
      <c r="LC8" s="21">
        <f>MIN(LISTE!LC:LC)</f>
        <v>-196000</v>
      </c>
      <c r="LD8" s="21">
        <f>MIN(LISTE!LD:LD)</f>
        <v>359</v>
      </c>
      <c r="LE8" s="21">
        <f>MIN(LISTE!LE:LE)</f>
        <v>-209093</v>
      </c>
      <c r="LF8" s="21">
        <f>MIN(LISTE!LF:LF)</f>
        <v>-65402</v>
      </c>
      <c r="LG8" s="21">
        <f>MIN(LISTE!LG:LG)</f>
        <v>6828618</v>
      </c>
      <c r="LH8" s="21">
        <f>MIN(LISTE!LH:LH)</f>
        <v>6489033</v>
      </c>
      <c r="LI8" s="21">
        <f>MIN(LISTE!LI:LI)</f>
        <v>9729</v>
      </c>
      <c r="LJ8" s="21">
        <f>MIN(LISTE!LJ:LJ)</f>
        <v>28449</v>
      </c>
      <c r="LK8" s="21">
        <f>MIN(LISTE!LK:LK)</f>
        <v>1293</v>
      </c>
      <c r="LL8" s="21">
        <f>MIN(LISTE!LL:LL)</f>
        <v>951</v>
      </c>
      <c r="LM8" s="21">
        <f>MIN(LISTE!LM:LM)</f>
        <v>39</v>
      </c>
      <c r="LN8" s="21">
        <f>MIN(LISTE!LN:LN)</f>
        <v>6</v>
      </c>
      <c r="LO8" s="21">
        <f>MIN(LISTE!LO:LO)</f>
        <v>6639</v>
      </c>
      <c r="LP8" s="21">
        <f>MIN(LISTE!LP:LP)</f>
        <v>3909</v>
      </c>
      <c r="LQ8" s="21">
        <f>MIN(LISTE!LQ:LQ)</f>
        <v>0</v>
      </c>
      <c r="LR8" s="21">
        <f>MIN(LISTE!LR:LR)</f>
        <v>0</v>
      </c>
      <c r="LS8" s="21">
        <f>MIN(LISTE!LS:LS)</f>
        <v>12808801</v>
      </c>
      <c r="LT8" s="21">
        <f>MIN(LISTE!LT:LT)</f>
        <v>0</v>
      </c>
      <c r="LU8" s="21">
        <f>MIN(LISTE!LU:LU)</f>
        <v>-48792000</v>
      </c>
      <c r="LV8" s="21">
        <f>MIN(LISTE!LV:LV)</f>
        <v>-51420000</v>
      </c>
      <c r="LW8" s="21">
        <f>MIN(LISTE!LW:LW)</f>
        <v>-152000</v>
      </c>
      <c r="LX8" s="21">
        <f>MIN(LISTE!LX:LX)</f>
        <v>-154000</v>
      </c>
      <c r="LY8" s="21">
        <f>MIN(LISTE!LY:LY)</f>
        <v>-1</v>
      </c>
      <c r="LZ8" s="21">
        <f>MIN(LISTE!LZ:LZ)</f>
        <v>145</v>
      </c>
      <c r="MA8" s="21">
        <f>MIN(LISTE!MA:MA)</f>
        <v>213</v>
      </c>
      <c r="MB8" s="21">
        <f>MIN(LISTE!MB:MB)</f>
        <v>147</v>
      </c>
      <c r="MC8" s="21">
        <f>MIN(LISTE!MC:MC)</f>
        <v>450</v>
      </c>
      <c r="MD8" s="21">
        <f>MIN(LISTE!MD:MD)</f>
        <v>27</v>
      </c>
      <c r="ME8" s="21">
        <f>MIN(LISTE!ME:ME)</f>
        <v>155000</v>
      </c>
      <c r="MF8" s="21">
        <f>MIN(LISTE!MF:MF)</f>
        <v>327071</v>
      </c>
      <c r="MG8" s="21">
        <f>MIN(LISTE!MG:MG)</f>
        <v>23</v>
      </c>
      <c r="MH8" s="21">
        <f>MIN(LISTE!MH:MH)</f>
        <v>23</v>
      </c>
      <c r="MI8" s="21">
        <f>MIN(LISTE!MI:MI)</f>
        <v>25</v>
      </c>
      <c r="MJ8" s="21">
        <f>MIN(LISTE!MJ:MJ)</f>
        <v>25</v>
      </c>
      <c r="MK8" s="21">
        <f>MIN(LISTE!MK:MK)</f>
        <v>0</v>
      </c>
      <c r="ML8" s="21">
        <f>MIN(LISTE!ML:ML)</f>
        <v>0</v>
      </c>
      <c r="MM8" s="21">
        <f>MIN(LISTE!MM:MM)</f>
        <v>8</v>
      </c>
      <c r="MN8" s="21">
        <f>MIN(LISTE!MN:MN)</f>
        <v>1</v>
      </c>
      <c r="MO8" s="21">
        <f>MIN(LISTE!MO:MO)</f>
        <v>293</v>
      </c>
      <c r="MP8" s="21">
        <f>MIN(LISTE!MP:MP)</f>
        <v>34000</v>
      </c>
      <c r="MQ8" s="21">
        <f>MIN(LISTE!MQ:MQ)</f>
        <v>330</v>
      </c>
      <c r="MR8" s="21">
        <f>MIN(LISTE!MR:MR)</f>
        <v>320</v>
      </c>
      <c r="MS8" s="21">
        <f>MIN(LISTE!MS:MS)</f>
        <v>-3721</v>
      </c>
      <c r="MT8" s="21">
        <f>MIN(LISTE!MT:MT)</f>
        <v>-2</v>
      </c>
      <c r="MU8" s="21">
        <f>MIN(LISTE!MU:MU)</f>
        <v>-62414000</v>
      </c>
      <c r="MV8" s="21">
        <f>MIN(LISTE!MV:MV)</f>
        <v>-61166000</v>
      </c>
      <c r="MW8" s="21">
        <f>MIN(LISTE!MW:MW)</f>
        <v>-69855000</v>
      </c>
      <c r="MX8" s="21">
        <f>MIN(LISTE!MX:MX)</f>
        <v>-40034000</v>
      </c>
      <c r="MY8" s="21">
        <f>MIN(LISTE!MY:MY)</f>
        <v>23800</v>
      </c>
      <c r="MZ8" s="21">
        <f>MIN(LISTE!MZ:MZ)</f>
        <v>-1</v>
      </c>
      <c r="NA8" s="21">
        <f>MIN(LISTE!NA:NA)</f>
        <v>498813</v>
      </c>
      <c r="NB8" s="21">
        <f>MIN(LISTE!NB:NB)</f>
        <v>63543</v>
      </c>
      <c r="NC8" s="21">
        <f>MIN(LISTE!NC:NC)</f>
        <v>-14895000</v>
      </c>
      <c r="ND8" s="21">
        <f>MIN(LISTE!ND:ND)</f>
        <v>-29821000</v>
      </c>
      <c r="NE8" s="21">
        <f>MIN(LISTE!NE:NE)</f>
        <v>1</v>
      </c>
      <c r="NF8" s="21">
        <f>MIN(LISTE!NF:NF)</f>
        <v>-3</v>
      </c>
      <c r="NG8" s="21">
        <f>MIN(LISTE!NG:NG)</f>
        <v>-41481000</v>
      </c>
      <c r="NH8" s="21">
        <f>MIN(LISTE!NH:NH)</f>
        <v>-42898000</v>
      </c>
      <c r="NI8" s="21">
        <f>MIN(LISTE!NI:NI)</f>
        <v>571</v>
      </c>
      <c r="NJ8" s="21">
        <f>MIN(LISTE!NJ:NJ)</f>
        <v>-1</v>
      </c>
      <c r="NK8" s="21">
        <f>MIN(LISTE!NK:NK)</f>
        <v>-327000</v>
      </c>
      <c r="NL8" s="21">
        <f>MIN(LISTE!NL:NL)</f>
        <v>-347730</v>
      </c>
      <c r="NM8" s="21">
        <f>MIN(LISTE!NM:NM)</f>
        <v>-45160765</v>
      </c>
      <c r="NN8" s="21">
        <f>MIN(LISTE!NN:NN)</f>
        <v>7938</v>
      </c>
      <c r="NO8" s="21">
        <f>MIN(LISTE!NO:NO)</f>
        <v>-85257430</v>
      </c>
      <c r="NP8" s="21">
        <f>MIN(LISTE!NP:NP)</f>
        <v>-45221000</v>
      </c>
    </row>
    <row r="9" spans="1:401" x14ac:dyDescent="0.2">
      <c r="A9" s="190" t="s">
        <v>3477</v>
      </c>
      <c r="B9" s="190" t="s">
        <v>3477</v>
      </c>
      <c r="C9" s="192">
        <f t="shared" ref="C9:BN9" si="0">AVERAGE(C5:C7)</f>
        <v>252360.66666666666</v>
      </c>
      <c r="D9" s="192" t="e">
        <f t="shared" si="0"/>
        <v>#NUM!</v>
      </c>
      <c r="E9" s="192">
        <f t="shared" si="0"/>
        <v>194594.08333333334</v>
      </c>
      <c r="F9" s="192">
        <f t="shared" si="0"/>
        <v>3079473.6666666665</v>
      </c>
      <c r="G9" s="192">
        <f t="shared" si="0"/>
        <v>2937752.8333333335</v>
      </c>
      <c r="H9" s="192">
        <f t="shared" si="0"/>
        <v>2856413</v>
      </c>
      <c r="I9" s="192">
        <f t="shared" si="0"/>
        <v>2547654.6666666665</v>
      </c>
      <c r="J9" s="192">
        <f t="shared" si="0"/>
        <v>1043055.5</v>
      </c>
      <c r="K9" s="192">
        <f t="shared" si="0"/>
        <v>1075132.6666666667</v>
      </c>
      <c r="L9" s="192">
        <f t="shared" si="0"/>
        <v>3516529.4166666665</v>
      </c>
      <c r="M9" s="192">
        <f t="shared" si="0"/>
        <v>26483.333333333332</v>
      </c>
      <c r="N9" s="192">
        <f t="shared" si="0"/>
        <v>216952.33333333334</v>
      </c>
      <c r="O9" s="192">
        <f t="shared" si="0"/>
        <v>208968.66666666666</v>
      </c>
      <c r="P9" s="192">
        <f t="shared" si="0"/>
        <v>207168.33333333334</v>
      </c>
      <c r="Q9" s="192">
        <f t="shared" si="0"/>
        <v>162708.66666666666</v>
      </c>
      <c r="R9" s="192">
        <f t="shared" si="0"/>
        <v>773294.5</v>
      </c>
      <c r="S9" s="192">
        <f t="shared" si="0"/>
        <v>1281030</v>
      </c>
      <c r="T9" s="192">
        <f t="shared" si="0"/>
        <v>301163.66666666669</v>
      </c>
      <c r="U9" s="192">
        <f t="shared" si="0"/>
        <v>240469.66666666666</v>
      </c>
      <c r="V9" s="192">
        <f t="shared" si="0"/>
        <v>189647.41666666666</v>
      </c>
      <c r="W9" s="192">
        <f t="shared" si="0"/>
        <v>210117.33333333334</v>
      </c>
      <c r="X9" s="192">
        <f t="shared" si="0"/>
        <v>210787.66666666666</v>
      </c>
      <c r="Y9" s="192">
        <f t="shared" si="0"/>
        <v>82347.833333333328</v>
      </c>
      <c r="Z9" s="192">
        <f t="shared" si="0"/>
        <v>566918.83333333337</v>
      </c>
      <c r="AA9" s="192">
        <f t="shared" si="0"/>
        <v>545996.66666666663</v>
      </c>
      <c r="AB9" s="192">
        <f t="shared" si="0"/>
        <v>732514.66666666663</v>
      </c>
      <c r="AC9" s="192" t="e">
        <f t="shared" si="0"/>
        <v>#NUM!</v>
      </c>
      <c r="AD9" s="192">
        <f t="shared" si="0"/>
        <v>47408.416666666664</v>
      </c>
      <c r="AE9" s="192">
        <f t="shared" si="0"/>
        <v>84815</v>
      </c>
      <c r="AF9" s="192">
        <f t="shared" si="0"/>
        <v>29470.25</v>
      </c>
      <c r="AG9" s="192" t="e">
        <f t="shared" si="0"/>
        <v>#NUM!</v>
      </c>
      <c r="AH9" s="192">
        <f t="shared" si="0"/>
        <v>901</v>
      </c>
      <c r="AI9" s="192">
        <f t="shared" si="0"/>
        <v>110472</v>
      </c>
      <c r="AJ9" s="192">
        <f t="shared" si="0"/>
        <v>901</v>
      </c>
      <c r="AK9" s="192">
        <f t="shared" si="0"/>
        <v>5647</v>
      </c>
      <c r="AL9" s="192">
        <f t="shared" si="0"/>
        <v>92826.166666666672</v>
      </c>
      <c r="AM9" s="192">
        <f t="shared" si="0"/>
        <v>78258.333333333328</v>
      </c>
      <c r="AN9" s="192">
        <f t="shared" si="0"/>
        <v>88905.666666666672</v>
      </c>
      <c r="AO9" s="192" t="e">
        <f t="shared" si="0"/>
        <v>#NUM!</v>
      </c>
      <c r="AP9" s="192">
        <f t="shared" si="0"/>
        <v>22652.166666666668</v>
      </c>
      <c r="AQ9" s="192">
        <f t="shared" si="0"/>
        <v>4462.166666666667</v>
      </c>
      <c r="AR9" s="192">
        <f t="shared" si="0"/>
        <v>22652.166666666668</v>
      </c>
      <c r="AS9" s="192">
        <f t="shared" si="0"/>
        <v>15331.666666666666</v>
      </c>
      <c r="AT9" s="192">
        <f t="shared" si="0"/>
        <v>18053.333333333332</v>
      </c>
      <c r="AU9" s="192">
        <f t="shared" si="0"/>
        <v>15168.5</v>
      </c>
      <c r="AV9" s="192">
        <f t="shared" si="0"/>
        <v>853049.75</v>
      </c>
      <c r="AW9" s="192">
        <f t="shared" si="0"/>
        <v>623066.16666666663</v>
      </c>
      <c r="AX9" s="192">
        <f t="shared" si="0"/>
        <v>7070200.5</v>
      </c>
      <c r="AY9" s="192" t="e">
        <f t="shared" si="0"/>
        <v>#NUM!</v>
      </c>
      <c r="AZ9" s="192">
        <f t="shared" si="0"/>
        <v>340919.75</v>
      </c>
      <c r="BA9" s="192">
        <f t="shared" si="0"/>
        <v>344525</v>
      </c>
      <c r="BB9" s="192">
        <f t="shared" si="0"/>
        <v>339737</v>
      </c>
      <c r="BC9" s="192">
        <f t="shared" si="0"/>
        <v>175678.5</v>
      </c>
      <c r="BD9" s="192">
        <f t="shared" si="0"/>
        <v>6953584.666666667</v>
      </c>
      <c r="BE9" s="192">
        <f t="shared" si="0"/>
        <v>6579211.833333333</v>
      </c>
      <c r="BF9" s="192">
        <f t="shared" si="0"/>
        <v>5062821</v>
      </c>
      <c r="BG9" s="192">
        <f t="shared" si="0"/>
        <v>250889.5</v>
      </c>
      <c r="BH9" s="192">
        <f t="shared" si="0"/>
        <v>44245.833333333336</v>
      </c>
      <c r="BI9" s="192">
        <f t="shared" si="0"/>
        <v>36599.583333333336</v>
      </c>
      <c r="BJ9" s="192">
        <f t="shared" si="0"/>
        <v>283442.58333333331</v>
      </c>
      <c r="BK9" s="192">
        <f t="shared" si="0"/>
        <v>6767604.666666667</v>
      </c>
      <c r="BL9" s="192">
        <f t="shared" si="0"/>
        <v>6633993.833333333</v>
      </c>
      <c r="BM9" s="192">
        <f t="shared" si="0"/>
        <v>6553630</v>
      </c>
      <c r="BN9" s="192">
        <f t="shared" si="0"/>
        <v>12835707.25</v>
      </c>
      <c r="BO9" s="192">
        <f t="shared" ref="BO9:DZ9" si="1">AVERAGE(BO5:BO7)</f>
        <v>79424.166666666672</v>
      </c>
      <c r="BP9" s="192">
        <f t="shared" si="1"/>
        <v>246912.58333333334</v>
      </c>
      <c r="BQ9" s="192">
        <f t="shared" si="1"/>
        <v>189556.66666666666</v>
      </c>
      <c r="BR9" s="192">
        <f t="shared" si="1"/>
        <v>179377.5</v>
      </c>
      <c r="BS9" s="192" t="e">
        <f t="shared" si="1"/>
        <v>#NUM!</v>
      </c>
      <c r="BT9" s="192" t="e">
        <f t="shared" si="1"/>
        <v>#NUM!</v>
      </c>
      <c r="BU9" s="192" t="e">
        <f t="shared" si="1"/>
        <v>#NUM!</v>
      </c>
      <c r="BV9" s="192" t="e">
        <f t="shared" si="1"/>
        <v>#NUM!</v>
      </c>
      <c r="BW9" s="192" t="e">
        <f t="shared" si="1"/>
        <v>#NUM!</v>
      </c>
      <c r="BX9" s="192">
        <f t="shared" si="1"/>
        <v>3222098.8333333335</v>
      </c>
      <c r="BY9" s="192">
        <f t="shared" si="1"/>
        <v>2948218.5</v>
      </c>
      <c r="BZ9" s="192">
        <f t="shared" si="1"/>
        <v>2883248.1666666665</v>
      </c>
      <c r="CA9" s="192">
        <f t="shared" si="1"/>
        <v>325.41666666666669</v>
      </c>
      <c r="CB9" s="192">
        <f t="shared" si="1"/>
        <v>61.583333333333336</v>
      </c>
      <c r="CC9" s="192">
        <f t="shared" si="1"/>
        <v>1069.1666666666667</v>
      </c>
      <c r="CD9" s="192">
        <f t="shared" si="1"/>
        <v>2021655.3333333333</v>
      </c>
      <c r="CE9" s="192">
        <f t="shared" si="1"/>
        <v>4811086.333333333</v>
      </c>
      <c r="CF9" s="192">
        <f t="shared" si="1"/>
        <v>3142347.5</v>
      </c>
      <c r="CG9" s="192">
        <f t="shared" si="1"/>
        <v>5564081.333333333</v>
      </c>
      <c r="CH9" s="192">
        <f t="shared" si="1"/>
        <v>61970.333333333336</v>
      </c>
      <c r="CI9" s="192">
        <f t="shared" si="1"/>
        <v>747304.66666666663</v>
      </c>
      <c r="CJ9" s="192">
        <f t="shared" si="1"/>
        <v>821174.83333333337</v>
      </c>
      <c r="CK9" s="192">
        <f t="shared" si="1"/>
        <v>590680.5</v>
      </c>
      <c r="CL9" s="192" t="e">
        <f t="shared" si="1"/>
        <v>#NUM!</v>
      </c>
      <c r="CM9" s="192">
        <f t="shared" si="1"/>
        <v>34566.75</v>
      </c>
      <c r="CN9" s="192">
        <f t="shared" si="1"/>
        <v>38299.25</v>
      </c>
      <c r="CO9" s="192">
        <f t="shared" si="1"/>
        <v>116501.75</v>
      </c>
      <c r="CP9" s="192">
        <f t="shared" si="1"/>
        <v>298806.66666666669</v>
      </c>
      <c r="CQ9" s="192">
        <f t="shared" si="1"/>
        <v>1028801.5</v>
      </c>
      <c r="CR9" s="192">
        <f t="shared" si="1"/>
        <v>1982930.75</v>
      </c>
      <c r="CS9" s="192">
        <f t="shared" si="1"/>
        <v>1434528.6666666667</v>
      </c>
      <c r="CT9" s="192">
        <f t="shared" si="1"/>
        <v>100354.66666666667</v>
      </c>
      <c r="CU9" s="192">
        <f t="shared" si="1"/>
        <v>218311.33333333334</v>
      </c>
      <c r="CV9" s="192">
        <f t="shared" si="1"/>
        <v>121350.33333333333</v>
      </c>
      <c r="CW9" s="192">
        <f t="shared" si="1"/>
        <v>166255.33333333334</v>
      </c>
      <c r="CX9" s="192">
        <f t="shared" si="1"/>
        <v>16817</v>
      </c>
      <c r="CY9" s="192">
        <f t="shared" si="1"/>
        <v>96084.25</v>
      </c>
      <c r="CZ9" s="192">
        <f t="shared" si="1"/>
        <v>84957.75</v>
      </c>
      <c r="DA9" s="192">
        <f t="shared" si="1"/>
        <v>26060.333333333332</v>
      </c>
      <c r="DB9" s="192">
        <f t="shared" si="1"/>
        <v>32317</v>
      </c>
      <c r="DC9" s="192">
        <f t="shared" si="1"/>
        <v>381213.25</v>
      </c>
      <c r="DD9" s="192">
        <f t="shared" si="1"/>
        <v>479949.33333333331</v>
      </c>
      <c r="DE9" s="192">
        <f t="shared" si="1"/>
        <v>314799.41666666669</v>
      </c>
      <c r="DF9" s="192">
        <f t="shared" si="1"/>
        <v>3346164.1666666665</v>
      </c>
      <c r="DG9" s="192">
        <f t="shared" si="1"/>
        <v>1160877.6666666667</v>
      </c>
      <c r="DH9" s="192">
        <f t="shared" si="1"/>
        <v>1121536.3333333333</v>
      </c>
      <c r="DI9" s="192">
        <f t="shared" si="1"/>
        <v>4283519.75</v>
      </c>
      <c r="DJ9" s="192">
        <f t="shared" si="1"/>
        <v>323804.41666666669</v>
      </c>
      <c r="DK9" s="192">
        <f t="shared" si="1"/>
        <v>6703853.666666667</v>
      </c>
      <c r="DL9" s="192">
        <f t="shared" si="1"/>
        <v>7103799.666666667</v>
      </c>
      <c r="DM9" s="192">
        <f t="shared" si="1"/>
        <v>7008488.416666667</v>
      </c>
      <c r="DN9" s="192">
        <f t="shared" si="1"/>
        <v>65842.25</v>
      </c>
      <c r="DO9" s="192">
        <f t="shared" si="1"/>
        <v>390759.83333333331</v>
      </c>
      <c r="DP9" s="192">
        <f t="shared" si="1"/>
        <v>354731.66666666669</v>
      </c>
      <c r="DQ9" s="192">
        <f t="shared" si="1"/>
        <v>275316.33333333331</v>
      </c>
      <c r="DR9" s="192">
        <f t="shared" si="1"/>
        <v>255782.83333333334</v>
      </c>
      <c r="DS9" s="192">
        <f t="shared" si="1"/>
        <v>927049.5</v>
      </c>
      <c r="DT9" s="192">
        <f t="shared" si="1"/>
        <v>1139668.4166666667</v>
      </c>
      <c r="DU9" s="192">
        <f t="shared" si="1"/>
        <v>662992.83333333337</v>
      </c>
      <c r="DV9" s="192">
        <f t="shared" si="1"/>
        <v>357647.33333333331</v>
      </c>
      <c r="DW9" s="192">
        <f t="shared" si="1"/>
        <v>79379</v>
      </c>
      <c r="DX9" s="192">
        <f t="shared" si="1"/>
        <v>102456.08333333333</v>
      </c>
      <c r="DY9" s="192">
        <f t="shared" si="1"/>
        <v>110095.08333333333</v>
      </c>
      <c r="DZ9" s="192">
        <f t="shared" si="1"/>
        <v>164781</v>
      </c>
      <c r="EA9" s="192">
        <f t="shared" ref="EA9:EO9" si="2">AVERAGE(EA5:EA7)</f>
        <v>471024</v>
      </c>
      <c r="EB9" s="192">
        <f t="shared" si="2"/>
        <v>164781</v>
      </c>
      <c r="EC9" s="192">
        <f t="shared" si="2"/>
        <v>321184.75</v>
      </c>
      <c r="ED9" s="192">
        <f t="shared" si="2"/>
        <v>2136788.8333333335</v>
      </c>
      <c r="EE9" s="192">
        <f t="shared" si="2"/>
        <v>2645444</v>
      </c>
      <c r="EF9" s="192">
        <f t="shared" si="2"/>
        <v>1197416.75</v>
      </c>
      <c r="EG9" s="192">
        <f t="shared" si="2"/>
        <v>12079591.166666666</v>
      </c>
      <c r="EH9" s="192">
        <f t="shared" si="2"/>
        <v>59748379.333333336</v>
      </c>
      <c r="EI9" s="192">
        <f t="shared" si="2"/>
        <v>47124782</v>
      </c>
      <c r="EJ9" s="192">
        <f t="shared" si="2"/>
        <v>42686037.666666664</v>
      </c>
      <c r="EK9" s="192">
        <f t="shared" si="2"/>
        <v>15197264.083333334</v>
      </c>
      <c r="EL9" s="192">
        <f t="shared" si="2"/>
        <v>21148158</v>
      </c>
      <c r="EM9" s="192">
        <f t="shared" si="2"/>
        <v>21266003</v>
      </c>
      <c r="EN9" s="192">
        <f t="shared" si="2"/>
        <v>33233311.75</v>
      </c>
      <c r="EO9" s="192">
        <f t="shared" si="2"/>
        <v>551330.83333333337</v>
      </c>
      <c r="EP9" s="192">
        <f t="shared" ref="EP9:HA9" si="3">AVERAGE(EP5:EP7)</f>
        <v>28687589.5</v>
      </c>
      <c r="EQ9" s="192">
        <f t="shared" si="3"/>
        <v>27567646</v>
      </c>
      <c r="ER9" s="192">
        <f t="shared" si="3"/>
        <v>22701110.75</v>
      </c>
      <c r="ES9" s="192">
        <f t="shared" si="3"/>
        <v>16137020.25</v>
      </c>
      <c r="ET9" s="192">
        <f t="shared" si="3"/>
        <v>51602976.166666664</v>
      </c>
      <c r="EU9" s="192">
        <f t="shared" si="3"/>
        <v>49282261.666666664</v>
      </c>
      <c r="EV9" s="192">
        <f t="shared" si="3"/>
        <v>60997535.333333336</v>
      </c>
      <c r="EW9" s="192">
        <f t="shared" si="3"/>
        <v>324222.66666666669</v>
      </c>
      <c r="EX9" s="192">
        <f t="shared" si="3"/>
        <v>1760794.75</v>
      </c>
      <c r="EY9" s="192">
        <f t="shared" si="3"/>
        <v>1718247.3333333333</v>
      </c>
      <c r="EZ9" s="192">
        <f t="shared" si="3"/>
        <v>2244728.1666666665</v>
      </c>
      <c r="FA9" s="192">
        <f t="shared" si="3"/>
        <v>33909185</v>
      </c>
      <c r="FB9" s="192">
        <f t="shared" si="3"/>
        <v>415095.33333333331</v>
      </c>
      <c r="FC9" s="192">
        <f t="shared" si="3"/>
        <v>539145.5</v>
      </c>
      <c r="FD9" s="192">
        <f t="shared" si="3"/>
        <v>700767</v>
      </c>
      <c r="FE9" s="192">
        <f t="shared" si="3"/>
        <v>9863.4166666666661</v>
      </c>
      <c r="FF9" s="192">
        <f t="shared" si="3"/>
        <v>1768824.6666666667</v>
      </c>
      <c r="FG9" s="192">
        <f t="shared" si="3"/>
        <v>1558994</v>
      </c>
      <c r="FH9" s="192">
        <f t="shared" si="3"/>
        <v>1559996.5833333333</v>
      </c>
      <c r="FI9" s="192">
        <f t="shared" si="3"/>
        <v>13144.666666666666</v>
      </c>
      <c r="FJ9" s="192">
        <f t="shared" si="3"/>
        <v>3616.6666666666665</v>
      </c>
      <c r="FK9" s="192">
        <f t="shared" si="3"/>
        <v>1166257.5</v>
      </c>
      <c r="FL9" s="192">
        <f t="shared" si="3"/>
        <v>1763731.8333333333</v>
      </c>
      <c r="FM9" s="192">
        <f t="shared" si="3"/>
        <v>91865.833333333328</v>
      </c>
      <c r="FN9" s="192">
        <f t="shared" si="3"/>
        <v>105407.33333333333</v>
      </c>
      <c r="FO9" s="192">
        <f t="shared" si="3"/>
        <v>116191.58333333333</v>
      </c>
      <c r="FP9" s="192">
        <f t="shared" si="3"/>
        <v>116386.5</v>
      </c>
      <c r="FQ9" s="192">
        <f t="shared" si="3"/>
        <v>15782.333333333334</v>
      </c>
      <c r="FR9" s="192">
        <f t="shared" si="3"/>
        <v>26471.666666666668</v>
      </c>
      <c r="FS9" s="192">
        <f t="shared" si="3"/>
        <v>104872</v>
      </c>
      <c r="FT9" s="192">
        <f t="shared" si="3"/>
        <v>113503</v>
      </c>
      <c r="FU9" s="192">
        <f t="shared" si="3"/>
        <v>-9071</v>
      </c>
      <c r="FV9" s="192">
        <f t="shared" si="3"/>
        <v>-3171.4166666666665</v>
      </c>
      <c r="FW9" s="192">
        <f t="shared" si="3"/>
        <v>194030.16666666666</v>
      </c>
      <c r="FX9" s="192">
        <f t="shared" si="3"/>
        <v>167242.66666666666</v>
      </c>
      <c r="FY9" s="192">
        <f t="shared" si="3"/>
        <v>36452.5</v>
      </c>
      <c r="FZ9" s="192">
        <f t="shared" si="3"/>
        <v>35910.666666666664</v>
      </c>
      <c r="GA9" s="192">
        <f t="shared" si="3"/>
        <v>176922.66666666666</v>
      </c>
      <c r="GB9" s="192">
        <f t="shared" si="3"/>
        <v>209163.08333333334</v>
      </c>
      <c r="GC9" s="192">
        <f t="shared" si="3"/>
        <v>58516.666666666664</v>
      </c>
      <c r="GD9" s="192">
        <f t="shared" si="3"/>
        <v>91091.916666666672</v>
      </c>
      <c r="GE9" s="192">
        <f t="shared" si="3"/>
        <v>239449.75</v>
      </c>
      <c r="GF9" s="192">
        <f t="shared" si="3"/>
        <v>149530.83333333334</v>
      </c>
      <c r="GG9" s="192">
        <f t="shared" si="3"/>
        <v>-14895000</v>
      </c>
      <c r="GH9" s="192">
        <f t="shared" si="3"/>
        <v>-8088000</v>
      </c>
      <c r="GI9" s="192" t="e">
        <f t="shared" si="3"/>
        <v>#NUM!</v>
      </c>
      <c r="GJ9" s="192">
        <f t="shared" si="3"/>
        <v>-3075</v>
      </c>
      <c r="GK9" s="192">
        <f t="shared" si="3"/>
        <v>140857</v>
      </c>
      <c r="GL9" s="192">
        <f t="shared" si="3"/>
        <v>120004.83333333333</v>
      </c>
      <c r="GM9" s="192">
        <f t="shared" si="3"/>
        <v>1466117.6666666667</v>
      </c>
      <c r="GN9" s="192">
        <f t="shared" si="3"/>
        <v>1379381.6666666667</v>
      </c>
      <c r="GO9" s="192">
        <f t="shared" si="3"/>
        <v>1437655.3333333333</v>
      </c>
      <c r="GP9" s="192">
        <f t="shared" si="3"/>
        <v>1445806.25</v>
      </c>
      <c r="GQ9" s="192">
        <f t="shared" si="3"/>
        <v>24497.166666666668</v>
      </c>
      <c r="GR9" s="192">
        <f t="shared" si="3"/>
        <v>49712.5</v>
      </c>
      <c r="GS9" s="192">
        <f t="shared" si="3"/>
        <v>1206932.3333333333</v>
      </c>
      <c r="GT9" s="192">
        <f t="shared" si="3"/>
        <v>1123616.6666666667</v>
      </c>
      <c r="GU9" s="192">
        <f t="shared" si="3"/>
        <v>216715.83333333334</v>
      </c>
      <c r="GV9" s="192">
        <f t="shared" si="3"/>
        <v>200025.33333333334</v>
      </c>
      <c r="GW9" s="192">
        <f t="shared" si="3"/>
        <v>241765.91666666666</v>
      </c>
      <c r="GX9" s="192">
        <f t="shared" si="3"/>
        <v>274477.83333333331</v>
      </c>
      <c r="GY9" s="192">
        <f t="shared" si="3"/>
        <v>46928272.5</v>
      </c>
      <c r="GZ9" s="192">
        <f t="shared" si="3"/>
        <v>47361363</v>
      </c>
      <c r="HA9" s="192">
        <f t="shared" si="3"/>
        <v>3458225.5</v>
      </c>
      <c r="HB9" s="192">
        <f t="shared" ref="HB9:JM9" si="4">AVERAGE(HB5:HB7)</f>
        <v>3405653.25</v>
      </c>
      <c r="HC9" s="192">
        <f t="shared" si="4"/>
        <v>5998693</v>
      </c>
      <c r="HD9" s="192">
        <f t="shared" si="4"/>
        <v>5966965.583333333</v>
      </c>
      <c r="HE9" s="192">
        <f t="shared" si="4"/>
        <v>220031.83333333334</v>
      </c>
      <c r="HF9" s="192">
        <f t="shared" si="4"/>
        <v>217050.16666666666</v>
      </c>
      <c r="HG9" s="192">
        <f t="shared" si="4"/>
        <v>58540.166666666664</v>
      </c>
      <c r="HH9" s="192">
        <f t="shared" si="4"/>
        <v>66369.5</v>
      </c>
      <c r="HI9" s="192">
        <f t="shared" si="4"/>
        <v>308468.66666666669</v>
      </c>
      <c r="HJ9" s="192">
        <f t="shared" si="4"/>
        <v>355588.91666666669</v>
      </c>
      <c r="HK9" s="192">
        <f t="shared" si="4"/>
        <v>19577</v>
      </c>
      <c r="HL9" s="192">
        <f t="shared" si="4"/>
        <v>46627.166666666664</v>
      </c>
      <c r="HM9" s="192">
        <f t="shared" si="4"/>
        <v>342.33333333333331</v>
      </c>
      <c r="HN9" s="192">
        <f t="shared" si="4"/>
        <v>1105</v>
      </c>
      <c r="HO9" s="192">
        <f t="shared" si="4"/>
        <v>2834814</v>
      </c>
      <c r="HP9" s="192">
        <f t="shared" si="4"/>
        <v>2694148.5</v>
      </c>
      <c r="HQ9" s="192">
        <f t="shared" si="4"/>
        <v>53156.666666666664</v>
      </c>
      <c r="HR9" s="192">
        <f t="shared" si="4"/>
        <v>45868.666666666664</v>
      </c>
      <c r="HS9" s="192">
        <f t="shared" si="4"/>
        <v>73399.166666666672</v>
      </c>
      <c r="HT9" s="192">
        <f t="shared" si="4"/>
        <v>71747.25</v>
      </c>
      <c r="HU9" s="192">
        <f t="shared" si="4"/>
        <v>1299026.1666666667</v>
      </c>
      <c r="HV9" s="192">
        <f t="shared" si="4"/>
        <v>1265592.3333333333</v>
      </c>
      <c r="HW9" s="192">
        <f t="shared" si="4"/>
        <v>73465</v>
      </c>
      <c r="HX9" s="192">
        <f t="shared" si="4"/>
        <v>106332</v>
      </c>
      <c r="HY9" s="192">
        <f t="shared" si="4"/>
        <v>132147.75</v>
      </c>
      <c r="HZ9" s="192">
        <f t="shared" si="4"/>
        <v>182689.16666666666</v>
      </c>
      <c r="IA9" s="192">
        <f t="shared" si="4"/>
        <v>273744.33333333331</v>
      </c>
      <c r="IB9" s="192">
        <f t="shared" si="4"/>
        <v>351224</v>
      </c>
      <c r="IC9" s="192">
        <f t="shared" si="4"/>
        <v>38969.666666666664</v>
      </c>
      <c r="ID9" s="192">
        <f t="shared" si="4"/>
        <v>68400.5</v>
      </c>
      <c r="IE9" s="192">
        <f t="shared" si="4"/>
        <v>715075</v>
      </c>
      <c r="IF9" s="192">
        <f t="shared" si="4"/>
        <v>698923.58333333337</v>
      </c>
      <c r="IG9" s="192">
        <f t="shared" si="4"/>
        <v>305560.83333333331</v>
      </c>
      <c r="IH9" s="192">
        <f t="shared" si="4"/>
        <v>310722.66666666669</v>
      </c>
      <c r="II9" s="192">
        <f t="shared" si="4"/>
        <v>19938.75</v>
      </c>
      <c r="IJ9" s="192">
        <f t="shared" si="4"/>
        <v>17269.75</v>
      </c>
      <c r="IK9" s="192">
        <f t="shared" si="4"/>
        <v>315342.33333333331</v>
      </c>
      <c r="IL9" s="192">
        <f t="shared" si="4"/>
        <v>124122.5</v>
      </c>
      <c r="IM9" s="192">
        <f t="shared" si="4"/>
        <v>44501.333333333336</v>
      </c>
      <c r="IN9" s="192">
        <f t="shared" si="4"/>
        <v>194628.66666666666</v>
      </c>
      <c r="IO9" s="192">
        <f t="shared" si="4"/>
        <v>10669.666666666666</v>
      </c>
      <c r="IP9" s="192">
        <f t="shared" si="4"/>
        <v>6087.666666666667</v>
      </c>
      <c r="IQ9" s="192">
        <f t="shared" si="4"/>
        <v>17677</v>
      </c>
      <c r="IR9" s="192">
        <f t="shared" si="4"/>
        <v>8436.3333333333339</v>
      </c>
      <c r="IS9" s="192">
        <f t="shared" si="4"/>
        <v>8596.5</v>
      </c>
      <c r="IT9" s="192">
        <f t="shared" si="4"/>
        <v>3917.3333333333335</v>
      </c>
      <c r="IU9" s="192">
        <f t="shared" si="4"/>
        <v>2154621.3333333335</v>
      </c>
      <c r="IV9" s="192">
        <f t="shared" si="4"/>
        <v>1978931.5</v>
      </c>
      <c r="IW9" s="192">
        <f t="shared" si="4"/>
        <v>2284191.3333333335</v>
      </c>
      <c r="IX9" s="192">
        <f t="shared" si="4"/>
        <v>2069810.6666666667</v>
      </c>
      <c r="IY9" s="192">
        <f t="shared" si="4"/>
        <v>-203276.75</v>
      </c>
      <c r="IZ9" s="192">
        <f t="shared" si="4"/>
        <v>-208064</v>
      </c>
      <c r="JA9" s="192">
        <f t="shared" si="4"/>
        <v>618762.41666666663</v>
      </c>
      <c r="JB9" s="192">
        <f t="shared" si="4"/>
        <v>532508.33333333337</v>
      </c>
      <c r="JC9" s="192">
        <f t="shared" si="4"/>
        <v>60227.666666666664</v>
      </c>
      <c r="JD9" s="192">
        <f t="shared" si="4"/>
        <v>43274.25</v>
      </c>
      <c r="JE9" s="192">
        <f t="shared" si="4"/>
        <v>6748208.583333333</v>
      </c>
      <c r="JF9" s="192">
        <f t="shared" si="4"/>
        <v>6448972</v>
      </c>
      <c r="JG9" s="192">
        <f t="shared" si="4"/>
        <v>36484.166666666664</v>
      </c>
      <c r="JH9" s="192">
        <f t="shared" si="4"/>
        <v>28061.333333333332</v>
      </c>
      <c r="JI9" s="192">
        <f t="shared" si="4"/>
        <v>59895708</v>
      </c>
      <c r="JJ9" s="192">
        <f t="shared" si="4"/>
        <v>59775457</v>
      </c>
      <c r="JK9" s="192">
        <f t="shared" si="4"/>
        <v>273154.66666666669</v>
      </c>
      <c r="JL9" s="192">
        <f t="shared" si="4"/>
        <v>290620</v>
      </c>
      <c r="JM9" s="192">
        <f t="shared" si="4"/>
        <v>54861093</v>
      </c>
      <c r="JN9" s="192">
        <f t="shared" ref="JN9:LY9" si="5">AVERAGE(JN5:JN7)</f>
        <v>55287262.333333336</v>
      </c>
      <c r="JO9" s="192">
        <f t="shared" si="5"/>
        <v>122903.33333333333</v>
      </c>
      <c r="JP9" s="192">
        <f t="shared" si="5"/>
        <v>155021.5</v>
      </c>
      <c r="JQ9" s="192">
        <f t="shared" si="5"/>
        <v>72230.833333333328</v>
      </c>
      <c r="JR9" s="192">
        <f t="shared" si="5"/>
        <v>-100750.33333333333</v>
      </c>
      <c r="JS9" s="192">
        <f t="shared" si="5"/>
        <v>-14078.166666666666</v>
      </c>
      <c r="JT9" s="192">
        <f t="shared" si="5"/>
        <v>12900.333333333334</v>
      </c>
      <c r="JU9" s="192">
        <f t="shared" si="5"/>
        <v>10994215.75</v>
      </c>
      <c r="JV9" s="192">
        <f t="shared" si="5"/>
        <v>74423981</v>
      </c>
      <c r="JW9" s="192">
        <f t="shared" si="5"/>
        <v>75108378.333333328</v>
      </c>
      <c r="JX9" s="192">
        <f t="shared" si="5"/>
        <v>74214599.666666672</v>
      </c>
      <c r="JY9" s="192">
        <f t="shared" si="5"/>
        <v>1741697.6666666667</v>
      </c>
      <c r="JZ9" s="192">
        <f t="shared" si="5"/>
        <v>5769447.5</v>
      </c>
      <c r="KA9" s="192">
        <f t="shared" si="5"/>
        <v>9068481.25</v>
      </c>
      <c r="KB9" s="192">
        <f t="shared" si="5"/>
        <v>9236285.333333334</v>
      </c>
      <c r="KC9" s="192">
        <f t="shared" si="5"/>
        <v>66966</v>
      </c>
      <c r="KD9" s="192">
        <f t="shared" si="5"/>
        <v>4082030.1666666665</v>
      </c>
      <c r="KE9" s="192">
        <f t="shared" si="5"/>
        <v>3590609.8333333335</v>
      </c>
      <c r="KF9" s="192">
        <f t="shared" si="5"/>
        <v>2681264</v>
      </c>
      <c r="KG9" s="192">
        <f t="shared" si="5"/>
        <v>10984762</v>
      </c>
      <c r="KH9" s="192">
        <f t="shared" si="5"/>
        <v>75367879.833333328</v>
      </c>
      <c r="KI9" s="192">
        <f t="shared" si="5"/>
        <v>62312174.416666664</v>
      </c>
      <c r="KJ9" s="192">
        <f t="shared" si="5"/>
        <v>63762117.666666664</v>
      </c>
      <c r="KK9" s="192">
        <f t="shared" si="5"/>
        <v>71538.166666666672</v>
      </c>
      <c r="KL9" s="192">
        <f t="shared" si="5"/>
        <v>83335.75</v>
      </c>
      <c r="KM9" s="192">
        <f t="shared" si="5"/>
        <v>310000</v>
      </c>
      <c r="KN9" s="192">
        <f t="shared" si="5"/>
        <v>310000</v>
      </c>
      <c r="KO9" s="192" t="e">
        <f t="shared" si="5"/>
        <v>#NUM!</v>
      </c>
      <c r="KP9" s="192" t="e">
        <f t="shared" si="5"/>
        <v>#NUM!</v>
      </c>
      <c r="KQ9" s="192">
        <f t="shared" si="5"/>
        <v>1478922.8333333333</v>
      </c>
      <c r="KR9" s="192">
        <f t="shared" si="5"/>
        <v>1590166.3333333333</v>
      </c>
      <c r="KS9" s="192">
        <f t="shared" si="5"/>
        <v>4070566</v>
      </c>
      <c r="KT9" s="192">
        <f t="shared" si="5"/>
        <v>1655193</v>
      </c>
      <c r="KU9" s="192">
        <f t="shared" si="5"/>
        <v>7543061.666666667</v>
      </c>
      <c r="KV9" s="192">
        <f t="shared" si="5"/>
        <v>6342944.666666667</v>
      </c>
      <c r="KW9" s="192">
        <f t="shared" si="5"/>
        <v>18943.5</v>
      </c>
      <c r="KX9" s="192">
        <f t="shared" si="5"/>
        <v>6431</v>
      </c>
      <c r="KY9" s="192">
        <f t="shared" si="5"/>
        <v>298572.16666666669</v>
      </c>
      <c r="KZ9" s="192">
        <f t="shared" si="5"/>
        <v>269240.66666666669</v>
      </c>
      <c r="LA9" s="192">
        <f t="shared" si="5"/>
        <v>3649333.3333333335</v>
      </c>
      <c r="LB9" s="192">
        <f t="shared" si="5"/>
        <v>3447250</v>
      </c>
      <c r="LC9" s="192">
        <f t="shared" si="5"/>
        <v>278491.16666666669</v>
      </c>
      <c r="LD9" s="192">
        <f t="shared" si="5"/>
        <v>121311.66666666667</v>
      </c>
      <c r="LE9" s="192">
        <f t="shared" si="5"/>
        <v>41611.166666666664</v>
      </c>
      <c r="LF9" s="192">
        <f t="shared" si="5"/>
        <v>34884</v>
      </c>
      <c r="LG9" s="192">
        <f t="shared" si="5"/>
        <v>7660038.5</v>
      </c>
      <c r="LH9" s="192">
        <f t="shared" si="5"/>
        <v>8446913.333333334</v>
      </c>
      <c r="LI9" s="192">
        <f t="shared" si="5"/>
        <v>3392226.5833333335</v>
      </c>
      <c r="LJ9" s="192">
        <f t="shared" si="5"/>
        <v>3208418.4166666665</v>
      </c>
      <c r="LK9" s="192">
        <f t="shared" si="5"/>
        <v>6843057.75</v>
      </c>
      <c r="LL9" s="192">
        <f t="shared" si="5"/>
        <v>6876053.833333333</v>
      </c>
      <c r="LM9" s="192">
        <f t="shared" si="5"/>
        <v>239830.75</v>
      </c>
      <c r="LN9" s="192">
        <f t="shared" si="5"/>
        <v>240951</v>
      </c>
      <c r="LO9" s="192">
        <f t="shared" si="5"/>
        <v>285087</v>
      </c>
      <c r="LP9" s="192">
        <f t="shared" si="5"/>
        <v>289656</v>
      </c>
      <c r="LQ9" s="192" t="e">
        <f t="shared" si="5"/>
        <v>#NUM!</v>
      </c>
      <c r="LR9" s="192" t="e">
        <f t="shared" si="5"/>
        <v>#NUM!</v>
      </c>
      <c r="LS9" s="192">
        <f t="shared" si="5"/>
        <v>12808801</v>
      </c>
      <c r="LT9" s="192" t="e">
        <f t="shared" si="5"/>
        <v>#NUM!</v>
      </c>
      <c r="LU9" s="192">
        <f t="shared" si="5"/>
        <v>-218886.5</v>
      </c>
      <c r="LV9" s="192">
        <f t="shared" si="5"/>
        <v>-135149</v>
      </c>
      <c r="LW9" s="192">
        <f t="shared" si="5"/>
        <v>395160.66666666669</v>
      </c>
      <c r="LX9" s="192">
        <f t="shared" si="5"/>
        <v>394713.33333333331</v>
      </c>
      <c r="LY9" s="192">
        <f t="shared" si="5"/>
        <v>137129.66666666666</v>
      </c>
      <c r="LZ9" s="192">
        <f t="shared" ref="LZ9:NP9" si="6">AVERAGE(LZ5:LZ7)</f>
        <v>153470</v>
      </c>
      <c r="MA9" s="192">
        <f t="shared" si="6"/>
        <v>10344805.25</v>
      </c>
      <c r="MB9" s="192">
        <f t="shared" si="6"/>
        <v>10790801.166666666</v>
      </c>
      <c r="MC9" s="192">
        <f t="shared" si="6"/>
        <v>6650010.083333333</v>
      </c>
      <c r="MD9" s="192">
        <f t="shared" si="6"/>
        <v>6282545.583333333</v>
      </c>
      <c r="ME9" s="192">
        <f t="shared" si="6"/>
        <v>3895673.6666666665</v>
      </c>
      <c r="MF9" s="192">
        <f t="shared" si="6"/>
        <v>3711793.5</v>
      </c>
      <c r="MG9" s="192">
        <f t="shared" si="6"/>
        <v>1345767</v>
      </c>
      <c r="MH9" s="192">
        <f t="shared" si="6"/>
        <v>1293486.3333333333</v>
      </c>
      <c r="MI9" s="192">
        <f t="shared" si="6"/>
        <v>3857939.3333333335</v>
      </c>
      <c r="MJ9" s="192">
        <f t="shared" si="6"/>
        <v>4264344.5</v>
      </c>
      <c r="MK9" s="192" t="e">
        <f t="shared" si="6"/>
        <v>#NUM!</v>
      </c>
      <c r="ML9" s="192" t="e">
        <f t="shared" si="6"/>
        <v>#NUM!</v>
      </c>
      <c r="MM9" s="192">
        <f t="shared" si="6"/>
        <v>395556.33333333331</v>
      </c>
      <c r="MN9" s="192">
        <f t="shared" si="6"/>
        <v>399142.33333333331</v>
      </c>
      <c r="MO9" s="192">
        <f t="shared" si="6"/>
        <v>674181.66666666663</v>
      </c>
      <c r="MP9" s="192">
        <f t="shared" si="6"/>
        <v>639437.66666666663</v>
      </c>
      <c r="MQ9" s="192">
        <f t="shared" si="6"/>
        <v>300655.41666666669</v>
      </c>
      <c r="MR9" s="192">
        <f t="shared" si="6"/>
        <v>290030.25</v>
      </c>
      <c r="MS9" s="192">
        <f t="shared" si="6"/>
        <v>524.41666666666663</v>
      </c>
      <c r="MT9" s="192">
        <f t="shared" si="6"/>
        <v>496.83333333333331</v>
      </c>
      <c r="MU9" s="192">
        <f t="shared" si="6"/>
        <v>1059477</v>
      </c>
      <c r="MV9" s="192">
        <f t="shared" si="6"/>
        <v>1108515.8333333333</v>
      </c>
      <c r="MW9" s="192">
        <f t="shared" si="6"/>
        <v>2019200.9166666667</v>
      </c>
      <c r="MX9" s="192">
        <f t="shared" si="6"/>
        <v>1783050.1666666667</v>
      </c>
      <c r="MY9" s="192">
        <f t="shared" si="6"/>
        <v>3647274.6666666665</v>
      </c>
      <c r="MZ9" s="192">
        <f t="shared" si="6"/>
        <v>3108362.6666666665</v>
      </c>
      <c r="NA9" s="192">
        <f t="shared" si="6"/>
        <v>4548176</v>
      </c>
      <c r="NB9" s="192">
        <f t="shared" si="6"/>
        <v>4229867.5</v>
      </c>
      <c r="NC9" s="192">
        <f t="shared" si="6"/>
        <v>1308640.3333333333</v>
      </c>
      <c r="ND9" s="192">
        <f t="shared" si="6"/>
        <v>1200069.25</v>
      </c>
      <c r="NE9" s="192">
        <f t="shared" si="6"/>
        <v>183041</v>
      </c>
      <c r="NF9" s="192">
        <f t="shared" si="6"/>
        <v>198058.25</v>
      </c>
      <c r="NG9" s="192">
        <f t="shared" si="6"/>
        <v>15675234.666666666</v>
      </c>
      <c r="NH9" s="192">
        <f t="shared" si="6"/>
        <v>14479032</v>
      </c>
      <c r="NI9" s="192">
        <f t="shared" si="6"/>
        <v>2298104.0833333335</v>
      </c>
      <c r="NJ9" s="192">
        <f t="shared" si="6"/>
        <v>2576930.3333333335</v>
      </c>
      <c r="NK9" s="192">
        <f t="shared" si="6"/>
        <v>671953.5</v>
      </c>
      <c r="NL9" s="192">
        <f t="shared" si="6"/>
        <v>548522.75</v>
      </c>
      <c r="NM9" s="192">
        <f t="shared" si="6"/>
        <v>31161160.916666668</v>
      </c>
      <c r="NN9" s="192">
        <f t="shared" si="6"/>
        <v>29634233.5</v>
      </c>
      <c r="NO9" s="192">
        <f t="shared" si="6"/>
        <v>50633289.333333336</v>
      </c>
      <c r="NP9" s="192">
        <f t="shared" si="6"/>
        <v>50236501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K337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7" sqref="B17"/>
    </sheetView>
  </sheetViews>
  <sheetFormatPr baseColWidth="10" defaultRowHeight="12.75" x14ac:dyDescent="0.2"/>
  <cols>
    <col min="1" max="1" width="10" style="165" bestFit="1" customWidth="1"/>
    <col min="2" max="2" width="69.7109375" style="198" bestFit="1" customWidth="1"/>
    <col min="3" max="3" width="34.140625" bestFit="1" customWidth="1"/>
    <col min="4" max="4" width="32.42578125" bestFit="1" customWidth="1"/>
    <col min="5" max="5" width="45.7109375" bestFit="1" customWidth="1"/>
    <col min="6" max="6" width="36.140625" bestFit="1" customWidth="1"/>
    <col min="7" max="7" width="37.7109375" bestFit="1" customWidth="1"/>
    <col min="8" max="8" width="36.85546875" bestFit="1" customWidth="1"/>
    <col min="9" max="9" width="60.85546875" bestFit="1" customWidth="1"/>
    <col min="10" max="10" width="51.28515625" bestFit="1" customWidth="1"/>
    <col min="11" max="11" width="52.85546875" bestFit="1" customWidth="1"/>
    <col min="12" max="12" width="52" bestFit="1" customWidth="1"/>
    <col min="13" max="13" width="62.42578125" bestFit="1" customWidth="1"/>
    <col min="14" max="14" width="52.85546875" bestFit="1" customWidth="1"/>
    <col min="15" max="15" width="54.5703125" bestFit="1" customWidth="1"/>
    <col min="16" max="16" width="53.5703125" bestFit="1" customWidth="1"/>
    <col min="17" max="17" width="62.28515625" bestFit="1" customWidth="1"/>
    <col min="18" max="18" width="52.7109375" bestFit="1" customWidth="1"/>
    <col min="19" max="19" width="54.42578125" bestFit="1" customWidth="1"/>
    <col min="20" max="20" width="53.42578125" bestFit="1" customWidth="1"/>
    <col min="21" max="21" width="49.7109375" bestFit="1" customWidth="1"/>
    <col min="22" max="22" width="40.140625" bestFit="1" customWidth="1"/>
    <col min="23" max="23" width="41.7109375" bestFit="1" customWidth="1"/>
    <col min="24" max="24" width="40.85546875" bestFit="1" customWidth="1"/>
    <col min="25" max="25" width="53.140625" bestFit="1" customWidth="1"/>
    <col min="26" max="26" width="43.5703125" bestFit="1" customWidth="1"/>
    <col min="27" max="27" width="45.28515625" bestFit="1" customWidth="1"/>
    <col min="28" max="28" width="44.42578125" bestFit="1" customWidth="1"/>
    <col min="29" max="29" width="49.85546875" bestFit="1" customWidth="1"/>
    <col min="30" max="30" width="40.28515625" bestFit="1" customWidth="1"/>
    <col min="31" max="31" width="41.85546875" bestFit="1" customWidth="1"/>
    <col min="32" max="32" width="41" bestFit="1" customWidth="1"/>
    <col min="33" max="33" width="76.7109375" bestFit="1" customWidth="1"/>
    <col min="34" max="34" width="67.140625" bestFit="1" customWidth="1"/>
    <col min="35" max="35" width="68.7109375" bestFit="1" customWidth="1"/>
    <col min="36" max="36" width="67.85546875" bestFit="1" customWidth="1"/>
    <col min="37" max="37" width="68.42578125" bestFit="1" customWidth="1"/>
    <col min="38" max="38" width="58.85546875" bestFit="1" customWidth="1"/>
    <col min="39" max="39" width="60.5703125" bestFit="1" customWidth="1"/>
    <col min="40" max="40" width="59.7109375" bestFit="1" customWidth="1"/>
    <col min="41" max="41" width="61.85546875" bestFit="1" customWidth="1"/>
    <col min="42" max="42" width="52.28515625" bestFit="1" customWidth="1"/>
    <col min="43" max="43" width="53.85546875" bestFit="1" customWidth="1"/>
    <col min="44" max="44" width="53" bestFit="1" customWidth="1"/>
    <col min="45" max="45" width="44.85546875" bestFit="1" customWidth="1"/>
    <col min="46" max="46" width="46.42578125" bestFit="1" customWidth="1"/>
    <col min="47" max="47" width="45.5703125" bestFit="1" customWidth="1"/>
    <col min="48" max="48" width="62.140625" bestFit="1" customWidth="1"/>
    <col min="49" max="49" width="63.7109375" bestFit="1" customWidth="1"/>
    <col min="50" max="50" width="62.85546875" bestFit="1" customWidth="1"/>
    <col min="51" max="51" width="55.7109375" bestFit="1" customWidth="1"/>
    <col min="52" max="52" width="46.140625" bestFit="1" customWidth="1"/>
    <col min="53" max="53" width="47.7109375" bestFit="1" customWidth="1"/>
    <col min="54" max="54" width="46.85546875" bestFit="1" customWidth="1"/>
    <col min="55" max="55" width="55.85546875" bestFit="1" customWidth="1"/>
    <col min="56" max="56" width="46.28515625" bestFit="1" customWidth="1"/>
    <col min="57" max="57" width="47.85546875" bestFit="1" customWidth="1"/>
    <col min="58" max="58" width="47" bestFit="1" customWidth="1"/>
    <col min="59" max="59" width="64.85546875" bestFit="1" customWidth="1"/>
    <col min="60" max="60" width="55.28515625" bestFit="1" customWidth="1"/>
    <col min="61" max="61" width="56.85546875" bestFit="1" customWidth="1"/>
    <col min="62" max="62" width="56" bestFit="1" customWidth="1"/>
    <col min="63" max="63" width="43.85546875" bestFit="1" customWidth="1"/>
    <col min="64" max="64" width="34.42578125" bestFit="1" customWidth="1"/>
    <col min="65" max="65" width="36" bestFit="1" customWidth="1"/>
    <col min="66" max="66" width="35.140625" bestFit="1" customWidth="1"/>
    <col min="67" max="67" width="65" bestFit="1" customWidth="1"/>
    <col min="68" max="68" width="55.42578125" bestFit="1" customWidth="1"/>
    <col min="69" max="69" width="57" bestFit="1" customWidth="1"/>
    <col min="70" max="70" width="56.140625" bestFit="1" customWidth="1"/>
    <col min="71" max="71" width="64.85546875" bestFit="1" customWidth="1"/>
    <col min="72" max="72" width="55.28515625" bestFit="1" customWidth="1"/>
    <col min="73" max="73" width="56.85546875" bestFit="1" customWidth="1"/>
    <col min="74" max="74" width="56" bestFit="1" customWidth="1"/>
    <col min="75" max="75" width="43.5703125" bestFit="1" customWidth="1"/>
    <col min="76" max="76" width="34.140625" bestFit="1" customWidth="1"/>
    <col min="77" max="77" width="35.7109375" bestFit="1" customWidth="1"/>
    <col min="78" max="78" width="34.85546875" bestFit="1" customWidth="1"/>
    <col min="79" max="79" width="46.28515625" bestFit="1" customWidth="1"/>
    <col min="80" max="80" width="47.85546875" bestFit="1" customWidth="1"/>
    <col min="81" max="81" width="47" bestFit="1" customWidth="1"/>
    <col min="82" max="82" width="48" bestFit="1" customWidth="1"/>
    <col min="83" max="83" width="38.42578125" bestFit="1" customWidth="1"/>
    <col min="84" max="84" width="40.140625" bestFit="1" customWidth="1"/>
    <col min="85" max="85" width="39.28515625" bestFit="1" customWidth="1"/>
    <col min="86" max="86" width="58.42578125" bestFit="1" customWidth="1"/>
    <col min="87" max="87" width="48.85546875" bestFit="1" customWidth="1"/>
    <col min="88" max="88" width="50.5703125" bestFit="1" customWidth="1"/>
    <col min="89" max="89" width="49.7109375" bestFit="1" customWidth="1"/>
    <col min="90" max="90" width="60.5703125" bestFit="1" customWidth="1"/>
    <col min="91" max="91" width="51" bestFit="1" customWidth="1"/>
    <col min="92" max="92" width="52.5703125" bestFit="1" customWidth="1"/>
    <col min="93" max="93" width="51.7109375" bestFit="1" customWidth="1"/>
    <col min="94" max="94" width="47.28515625" bestFit="1" customWidth="1"/>
    <col min="95" max="95" width="37.7109375" bestFit="1" customWidth="1"/>
    <col min="96" max="96" width="39.42578125" bestFit="1" customWidth="1"/>
    <col min="97" max="97" width="38.42578125" bestFit="1" customWidth="1"/>
    <col min="98" max="98" width="81.5703125" bestFit="1" customWidth="1"/>
    <col min="99" max="99" width="72" bestFit="1" customWidth="1"/>
    <col min="100" max="100" width="73.5703125" bestFit="1" customWidth="1"/>
    <col min="101" max="101" width="72.7109375" bestFit="1" customWidth="1"/>
    <col min="102" max="102" width="50" bestFit="1" customWidth="1"/>
    <col min="103" max="103" width="40.42578125" bestFit="1" customWidth="1"/>
    <col min="104" max="104" width="42" bestFit="1" customWidth="1"/>
    <col min="105" max="105" width="41.140625" bestFit="1" customWidth="1"/>
    <col min="106" max="106" width="52.7109375" bestFit="1" customWidth="1"/>
    <col min="107" max="107" width="43.140625" bestFit="1" customWidth="1"/>
    <col min="108" max="108" width="44.85546875" bestFit="1" customWidth="1"/>
    <col min="109" max="109" width="43.85546875" bestFit="1" customWidth="1"/>
    <col min="110" max="110" width="77.85546875" bestFit="1" customWidth="1"/>
    <col min="111" max="111" width="68.28515625" bestFit="1" customWidth="1"/>
    <col min="112" max="112" width="70" bestFit="1" customWidth="1"/>
    <col min="113" max="113" width="69" bestFit="1" customWidth="1"/>
    <col min="114" max="114" width="43.7109375" bestFit="1" customWidth="1"/>
    <col min="115" max="115" width="34.28515625" bestFit="1" customWidth="1"/>
    <col min="116" max="116" width="35.85546875" bestFit="1" customWidth="1"/>
    <col min="117" max="117" width="35" bestFit="1" customWidth="1"/>
    <col min="118" max="118" width="70.140625" bestFit="1" customWidth="1"/>
    <col min="119" max="119" width="60.5703125" bestFit="1" customWidth="1"/>
    <col min="120" max="120" width="62.140625" bestFit="1" customWidth="1"/>
    <col min="121" max="121" width="61.28515625" bestFit="1" customWidth="1"/>
    <col min="122" max="122" width="69" bestFit="1" customWidth="1"/>
    <col min="123" max="123" width="59.5703125" bestFit="1" customWidth="1"/>
    <col min="124" max="124" width="61.140625" bestFit="1" customWidth="1"/>
    <col min="125" max="125" width="60.28515625" bestFit="1" customWidth="1"/>
    <col min="126" max="126" width="41" bestFit="1" customWidth="1"/>
    <col min="127" max="127" width="31.42578125" bestFit="1" customWidth="1"/>
    <col min="128" max="128" width="33" bestFit="1" customWidth="1"/>
    <col min="129" max="129" width="32.140625" bestFit="1" customWidth="1"/>
    <col min="130" max="130" width="60.85546875" bestFit="1" customWidth="1"/>
    <col min="131" max="131" width="62.42578125" bestFit="1" customWidth="1"/>
    <col min="132" max="132" width="61.5703125" bestFit="1" customWidth="1"/>
    <col min="133" max="133" width="57.85546875" bestFit="1" customWidth="1"/>
    <col min="134" max="134" width="48.28515625" bestFit="1" customWidth="1"/>
    <col min="135" max="135" width="50" bestFit="1" customWidth="1"/>
    <col min="136" max="136" width="49" bestFit="1" customWidth="1"/>
    <col min="137" max="137" width="50" bestFit="1" customWidth="1"/>
    <col min="138" max="138" width="40.42578125" bestFit="1" customWidth="1"/>
    <col min="139" max="139" width="39.7109375" bestFit="1" customWidth="1"/>
    <col min="140" max="140" width="38.85546875" bestFit="1" customWidth="1"/>
    <col min="141" max="141" width="37.85546875" bestFit="1" customWidth="1"/>
    <col min="142" max="142" width="28.28515625" bestFit="1" customWidth="1"/>
    <col min="143" max="143" width="29.85546875" bestFit="1" customWidth="1"/>
    <col min="144" max="144" width="29" bestFit="1" customWidth="1"/>
    <col min="145" max="145" width="38.28515625" bestFit="1" customWidth="1"/>
    <col min="146" max="146" width="28.7109375" bestFit="1" customWidth="1"/>
    <col min="147" max="147" width="30.28515625" bestFit="1" customWidth="1"/>
    <col min="148" max="148" width="29.42578125" bestFit="1" customWidth="1"/>
    <col min="149" max="149" width="49.140625" bestFit="1" customWidth="1"/>
    <col min="150" max="150" width="39.5703125" bestFit="1" customWidth="1"/>
    <col min="151" max="151" width="41.140625" bestFit="1" customWidth="1"/>
    <col min="152" max="152" width="40.28515625" bestFit="1" customWidth="1"/>
    <col min="153" max="153" width="37.140625" bestFit="1" customWidth="1"/>
    <col min="154" max="154" width="27.5703125" bestFit="1" customWidth="1"/>
    <col min="155" max="155" width="29.140625" bestFit="1" customWidth="1"/>
    <col min="156" max="156" width="28.28515625" bestFit="1" customWidth="1"/>
    <col min="157" max="157" width="50.85546875" bestFit="1" customWidth="1"/>
    <col min="158" max="158" width="41.28515625" bestFit="1" customWidth="1"/>
    <col min="159" max="159" width="43" bestFit="1" customWidth="1"/>
    <col min="160" max="160" width="42.140625" bestFit="1" customWidth="1"/>
    <col min="161" max="161" width="59" bestFit="1" customWidth="1"/>
    <col min="162" max="162" width="49.42578125" bestFit="1" customWidth="1"/>
    <col min="163" max="163" width="51" bestFit="1" customWidth="1"/>
    <col min="164" max="164" width="50.140625" bestFit="1" customWidth="1"/>
    <col min="165" max="165" width="58.85546875" bestFit="1" customWidth="1"/>
    <col min="166" max="166" width="60.42578125" bestFit="1" customWidth="1"/>
    <col min="167" max="167" width="84.85546875" bestFit="1" customWidth="1"/>
    <col min="168" max="168" width="86.42578125" bestFit="1" customWidth="1"/>
    <col min="169" max="169" width="70.28515625" bestFit="1" customWidth="1"/>
    <col min="170" max="170" width="71.85546875" bestFit="1" customWidth="1"/>
    <col min="171" max="171" width="69.5703125" bestFit="1" customWidth="1"/>
    <col min="172" max="172" width="71.140625" bestFit="1" customWidth="1"/>
    <col min="173" max="173" width="72.85546875" bestFit="1" customWidth="1"/>
    <col min="174" max="174" width="74.42578125" bestFit="1" customWidth="1"/>
    <col min="175" max="175" width="78.42578125" bestFit="1" customWidth="1"/>
    <col min="176" max="176" width="80" bestFit="1" customWidth="1"/>
    <col min="177" max="177" width="46" bestFit="1" customWidth="1"/>
    <col min="178" max="178" width="47.7109375" bestFit="1" customWidth="1"/>
    <col min="179" max="179" width="53.140625" bestFit="1" customWidth="1"/>
    <col min="180" max="180" width="54.7109375" bestFit="1" customWidth="1"/>
    <col min="181" max="181" width="76" bestFit="1" customWidth="1"/>
    <col min="182" max="182" width="77.5703125" bestFit="1" customWidth="1"/>
    <col min="183" max="183" width="74.7109375" bestFit="1" customWidth="1"/>
    <col min="184" max="184" width="76.28515625" bestFit="1" customWidth="1"/>
    <col min="185" max="185" width="69.28515625" bestFit="1" customWidth="1"/>
    <col min="186" max="186" width="70.85546875" bestFit="1" customWidth="1"/>
    <col min="187" max="187" width="68.5703125" bestFit="1" customWidth="1"/>
    <col min="188" max="188" width="70.140625" bestFit="1" customWidth="1"/>
    <col min="189" max="189" width="55.28515625" bestFit="1" customWidth="1"/>
    <col min="190" max="190" width="56.85546875" bestFit="1" customWidth="1"/>
    <col min="191" max="191" width="53.28515625" bestFit="1" customWidth="1"/>
    <col min="192" max="192" width="54.85546875" bestFit="1" customWidth="1"/>
    <col min="193" max="193" width="67.85546875" bestFit="1" customWidth="1"/>
    <col min="194" max="194" width="69.42578125" bestFit="1" customWidth="1"/>
    <col min="195" max="195" width="62.5703125" bestFit="1" customWidth="1"/>
    <col min="196" max="196" width="64.140625" bestFit="1" customWidth="1"/>
    <col min="197" max="197" width="60.85546875" bestFit="1" customWidth="1"/>
    <col min="198" max="198" width="62.5703125" bestFit="1" customWidth="1"/>
    <col min="199" max="199" width="67.5703125" bestFit="1" customWidth="1"/>
    <col min="200" max="200" width="69.140625" bestFit="1" customWidth="1"/>
    <col min="201" max="201" width="74.5703125" bestFit="1" customWidth="1"/>
    <col min="202" max="202" width="76.140625" bestFit="1" customWidth="1"/>
    <col min="203" max="203" width="60.85546875" bestFit="1" customWidth="1"/>
    <col min="204" max="204" width="62.5703125" bestFit="1" customWidth="1"/>
    <col min="205" max="205" width="59.7109375" bestFit="1" customWidth="1"/>
    <col min="206" max="206" width="61.28515625" bestFit="1" customWidth="1"/>
    <col min="207" max="207" width="67.28515625" bestFit="1" customWidth="1"/>
    <col min="208" max="208" width="69" bestFit="1" customWidth="1"/>
    <col min="209" max="209" width="77.5703125" bestFit="1" customWidth="1"/>
    <col min="210" max="210" width="79.28515625" bestFit="1" customWidth="1"/>
    <col min="211" max="211" width="52.140625" bestFit="1" customWidth="1"/>
    <col min="212" max="212" width="53.7109375" bestFit="1" customWidth="1"/>
    <col min="213" max="213" width="36.85546875" bestFit="1" customWidth="1"/>
    <col min="214" max="214" width="38.42578125" bestFit="1" customWidth="1"/>
    <col min="215" max="215" width="58" bestFit="1" customWidth="1"/>
    <col min="216" max="216" width="59.5703125" bestFit="1" customWidth="1"/>
    <col min="217" max="217" width="37.5703125" bestFit="1" customWidth="1"/>
    <col min="218" max="218" width="39.140625" bestFit="1" customWidth="1"/>
    <col min="219" max="219" width="58.28515625" bestFit="1" customWidth="1"/>
    <col min="220" max="220" width="59.85546875" bestFit="1" customWidth="1"/>
    <col min="221" max="221" width="77.85546875" bestFit="1" customWidth="1"/>
    <col min="222" max="222" width="79.42578125" bestFit="1" customWidth="1"/>
    <col min="223" max="223" width="37.7109375" bestFit="1" customWidth="1"/>
    <col min="224" max="224" width="39.28515625" bestFit="1" customWidth="1"/>
    <col min="225" max="225" width="50.5703125" bestFit="1" customWidth="1"/>
    <col min="226" max="226" width="52.28515625" bestFit="1" customWidth="1"/>
    <col min="227" max="227" width="50" bestFit="1" customWidth="1"/>
    <col min="228" max="228" width="51.5703125" bestFit="1" customWidth="1"/>
    <col min="229" max="229" width="62.140625" bestFit="1" customWidth="1"/>
    <col min="230" max="230" width="63.85546875" bestFit="1" customWidth="1"/>
    <col min="231" max="231" width="57.28515625" bestFit="1" customWidth="1"/>
    <col min="232" max="232" width="58.85546875" bestFit="1" customWidth="1"/>
    <col min="233" max="233" width="76.140625" bestFit="1" customWidth="1"/>
    <col min="234" max="234" width="77.85546875" bestFit="1" customWidth="1"/>
    <col min="235" max="235" width="71.140625" bestFit="1" customWidth="1"/>
    <col min="236" max="236" width="72.85546875" bestFit="1" customWidth="1"/>
    <col min="237" max="237" width="70.85546875" bestFit="1" customWidth="1"/>
    <col min="238" max="238" width="72.42578125" bestFit="1" customWidth="1"/>
    <col min="239" max="239" width="59.140625" bestFit="1" customWidth="1"/>
    <col min="240" max="240" width="60.7109375" bestFit="1" customWidth="1"/>
    <col min="241" max="241" width="52.42578125" bestFit="1" customWidth="1"/>
    <col min="242" max="242" width="54" bestFit="1" customWidth="1"/>
    <col min="243" max="243" width="59.28515625" bestFit="1" customWidth="1"/>
    <col min="244" max="244" width="60.85546875" bestFit="1" customWidth="1"/>
    <col min="245" max="245" width="44" bestFit="1" customWidth="1"/>
    <col min="246" max="246" width="45.5703125" bestFit="1" customWidth="1"/>
    <col min="247" max="247" width="40.28515625" bestFit="1" customWidth="1"/>
    <col min="248" max="248" width="42" bestFit="1" customWidth="1"/>
    <col min="249" max="249" width="85.42578125" bestFit="1" customWidth="1"/>
    <col min="250" max="250" width="87" bestFit="1" customWidth="1"/>
    <col min="251" max="251" width="53.5703125" bestFit="1" customWidth="1"/>
    <col min="252" max="252" width="55.140625" bestFit="1" customWidth="1"/>
    <col min="253" max="253" width="76.42578125" bestFit="1" customWidth="1"/>
    <col min="254" max="254" width="78.140625" bestFit="1" customWidth="1"/>
    <col min="255" max="255" width="70.42578125" bestFit="1" customWidth="1"/>
    <col min="256" max="256" width="72" bestFit="1" customWidth="1"/>
    <col min="257" max="257" width="50.5703125" bestFit="1" customWidth="1"/>
    <col min="258" max="258" width="52.28515625" bestFit="1" customWidth="1"/>
    <col min="259" max="259" width="47.5703125" bestFit="1" customWidth="1"/>
    <col min="260" max="260" width="49.140625" bestFit="1" customWidth="1"/>
    <col min="261" max="261" width="75.85546875" bestFit="1" customWidth="1"/>
    <col min="262" max="262" width="77.42578125" bestFit="1" customWidth="1"/>
    <col min="263" max="263" width="62.7109375" bestFit="1" customWidth="1"/>
    <col min="264" max="264" width="64.28515625" bestFit="1" customWidth="1"/>
    <col min="265" max="265" width="43.28515625" bestFit="1" customWidth="1"/>
    <col min="266" max="266" width="44.85546875" bestFit="1" customWidth="1"/>
    <col min="267" max="267" width="46.28515625" bestFit="1" customWidth="1"/>
    <col min="268" max="268" width="48" bestFit="1" customWidth="1"/>
    <col min="269" max="269" width="52.7109375" bestFit="1" customWidth="1"/>
    <col min="270" max="270" width="54.28515625" bestFit="1" customWidth="1"/>
    <col min="271" max="271" width="52.85546875" bestFit="1" customWidth="1"/>
    <col min="272" max="272" width="54.42578125" bestFit="1" customWidth="1"/>
    <col min="273" max="273" width="53" bestFit="1" customWidth="1"/>
    <col min="274" max="274" width="54.5703125" bestFit="1" customWidth="1"/>
    <col min="275" max="275" width="50.140625" bestFit="1" customWidth="1"/>
    <col min="276" max="277" width="51.7109375" bestFit="1" customWidth="1"/>
    <col min="278" max="278" width="53.42578125" bestFit="1" customWidth="1"/>
    <col min="279" max="279" width="79.85546875" bestFit="1" customWidth="1"/>
    <col min="280" max="280" width="81.42578125" bestFit="1" customWidth="1"/>
    <col min="281" max="281" width="47.85546875" bestFit="1" customWidth="1"/>
    <col min="282" max="282" width="48.140625" bestFit="1" customWidth="1"/>
    <col min="283" max="283" width="46.42578125" bestFit="1" customWidth="1"/>
    <col min="284" max="284" width="48.140625" bestFit="1" customWidth="1"/>
    <col min="285" max="285" width="49.85546875" bestFit="1" customWidth="1"/>
    <col min="286" max="286" width="50.140625" bestFit="1" customWidth="1"/>
    <col min="287" max="287" width="48.5703125" bestFit="1" customWidth="1"/>
    <col min="288" max="288" width="50.140625" bestFit="1" customWidth="1"/>
    <col min="289" max="289" width="51.85546875" bestFit="1" customWidth="1"/>
    <col min="290" max="290" width="52.28515625" bestFit="1" customWidth="1"/>
    <col min="291" max="291" width="50.5703125" bestFit="1" customWidth="1"/>
    <col min="292" max="292" width="52.28515625" bestFit="1" customWidth="1"/>
    <col min="293" max="293" width="49.42578125" bestFit="1" customWidth="1"/>
    <col min="294" max="294" width="49.7109375" bestFit="1" customWidth="1"/>
    <col min="295" max="295" width="48.140625" bestFit="1" customWidth="1"/>
    <col min="296" max="296" width="49.7109375" bestFit="1" customWidth="1"/>
    <col min="297" max="297" width="21.42578125" bestFit="1" customWidth="1"/>
    <col min="298" max="298" width="23" bestFit="1" customWidth="1"/>
    <col min="299" max="299" width="39.5703125" bestFit="1" customWidth="1"/>
    <col min="300" max="300" width="41.140625" bestFit="1" customWidth="1"/>
    <col min="301" max="301" width="24" bestFit="1" customWidth="1"/>
    <col min="302" max="302" width="25.5703125" bestFit="1" customWidth="1"/>
    <col min="303" max="303" width="29.7109375" bestFit="1" customWidth="1"/>
    <col min="304" max="304" width="31.28515625" bestFit="1" customWidth="1"/>
    <col min="305" max="305" width="42.140625" bestFit="1" customWidth="1"/>
    <col min="306" max="306" width="43.7109375" bestFit="1" customWidth="1"/>
    <col min="307" max="307" width="31.28515625" bestFit="1" customWidth="1"/>
    <col min="308" max="308" width="33" bestFit="1" customWidth="1"/>
    <col min="309" max="309" width="36.85546875" bestFit="1" customWidth="1"/>
    <col min="310" max="310" width="38.42578125" bestFit="1" customWidth="1"/>
    <col min="311" max="311" width="62.85546875" bestFit="1" customWidth="1"/>
    <col min="312" max="312" width="64.42578125" bestFit="1" customWidth="1"/>
    <col min="313" max="313" width="39.42578125" bestFit="1" customWidth="1"/>
    <col min="314" max="314" width="41" bestFit="1" customWidth="1"/>
    <col min="315" max="315" width="32.42578125" bestFit="1" customWidth="1"/>
    <col min="316" max="316" width="34" bestFit="1" customWidth="1"/>
    <col min="317" max="317" width="32.5703125" bestFit="1" customWidth="1"/>
    <col min="318" max="318" width="34.140625" bestFit="1" customWidth="1"/>
    <col min="319" max="319" width="61.7109375" bestFit="1" customWidth="1"/>
    <col min="320" max="320" width="63.42578125" bestFit="1" customWidth="1"/>
    <col min="321" max="321" width="38.7109375" bestFit="1" customWidth="1"/>
    <col min="322" max="322" width="40.28515625" bestFit="1" customWidth="1"/>
    <col min="323" max="323" width="51.7109375" bestFit="1" customWidth="1"/>
    <col min="324" max="324" width="53.42578125" bestFit="1" customWidth="1"/>
    <col min="325" max="325" width="57.5703125" bestFit="1" customWidth="1"/>
    <col min="326" max="326" width="59.140625" bestFit="1" customWidth="1"/>
    <col min="327" max="327" width="78.85546875" bestFit="1" customWidth="1"/>
    <col min="328" max="328" width="80.42578125" bestFit="1" customWidth="1"/>
    <col min="329" max="329" width="40.7109375" bestFit="1" customWidth="1"/>
    <col min="330" max="330" width="42.42578125" bestFit="1" customWidth="1"/>
    <col min="331" max="331" width="63.42578125" bestFit="1" customWidth="1"/>
    <col min="332" max="332" width="65" bestFit="1" customWidth="1"/>
    <col min="333" max="333" width="34.85546875" bestFit="1" customWidth="1"/>
    <col min="334" max="334" width="36.42578125" bestFit="1" customWidth="1"/>
    <col min="335" max="335" width="36.28515625" bestFit="1" customWidth="1"/>
    <col min="336" max="336" width="38" bestFit="1" customWidth="1"/>
    <col min="337" max="337" width="33.7109375" bestFit="1" customWidth="1"/>
    <col min="338" max="338" width="35.28515625" bestFit="1" customWidth="1"/>
    <col min="339" max="339" width="68.28515625" bestFit="1" customWidth="1"/>
    <col min="340" max="340" width="69.85546875" bestFit="1" customWidth="1"/>
    <col min="341" max="341" width="53.28515625" bestFit="1" customWidth="1"/>
    <col min="342" max="342" width="54.85546875" bestFit="1" customWidth="1"/>
    <col min="343" max="343" width="46.28515625" bestFit="1" customWidth="1"/>
    <col min="344" max="344" width="48" bestFit="1" customWidth="1"/>
    <col min="345" max="345" width="34.5703125" bestFit="1" customWidth="1"/>
    <col min="346" max="346" width="36.140625" bestFit="1" customWidth="1"/>
    <col min="347" max="347" width="49.140625" bestFit="1" customWidth="1"/>
    <col min="348" max="348" width="50.7109375" bestFit="1" customWidth="1"/>
    <col min="349" max="349" width="53.28515625" bestFit="1" customWidth="1"/>
    <col min="350" max="350" width="54.85546875" bestFit="1" customWidth="1"/>
    <col min="351" max="351" width="43.42578125" bestFit="1" customWidth="1"/>
    <col min="352" max="352" width="45" bestFit="1" customWidth="1"/>
    <col min="353" max="353" width="37.42578125" bestFit="1" customWidth="1"/>
    <col min="354" max="354" width="39" bestFit="1" customWidth="1"/>
    <col min="355" max="355" width="37.140625" bestFit="1" customWidth="1"/>
    <col min="356" max="356" width="38.7109375" bestFit="1" customWidth="1"/>
    <col min="357" max="357" width="38.42578125" bestFit="1" customWidth="1"/>
    <col min="358" max="358" width="40" bestFit="1" customWidth="1"/>
    <col min="359" max="359" width="32.85546875" bestFit="1" customWidth="1"/>
    <col min="360" max="360" width="34.42578125" bestFit="1" customWidth="1"/>
    <col min="361" max="361" width="32.85546875" bestFit="1" customWidth="1"/>
    <col min="362" max="362" width="34.42578125" bestFit="1" customWidth="1"/>
    <col min="363" max="363" width="40.140625" bestFit="1" customWidth="1"/>
    <col min="364" max="364" width="41.85546875" bestFit="1" customWidth="1"/>
    <col min="365" max="365" width="49.140625" bestFit="1" customWidth="1"/>
    <col min="366" max="366" width="50.7109375" bestFit="1" customWidth="1"/>
    <col min="367" max="367" width="45.5703125" bestFit="1" customWidth="1"/>
    <col min="368" max="368" width="47.28515625" bestFit="1" customWidth="1"/>
    <col min="369" max="369" width="42.5703125" bestFit="1" customWidth="1"/>
    <col min="370" max="370" width="44.140625" bestFit="1" customWidth="1"/>
    <col min="371" max="371" width="25.7109375" bestFit="1" customWidth="1"/>
    <col min="372" max="372" width="27.42578125" bestFit="1" customWidth="1"/>
    <col min="373" max="373" width="26.140625" bestFit="1" customWidth="1"/>
    <col min="374" max="374" width="27.85546875" bestFit="1" customWidth="1"/>
    <col min="375" max="375" width="26.7109375" bestFit="1" customWidth="1"/>
    <col min="376" max="376" width="28.28515625" bestFit="1" customWidth="1"/>
    <col min="377" max="377" width="27" bestFit="1" customWidth="1"/>
    <col min="378" max="378" width="28.5703125" bestFit="1" customWidth="1"/>
    <col min="379" max="379" width="36.42578125" bestFit="1" customWidth="1"/>
    <col min="380" max="380" width="38.140625" bestFit="1" customWidth="1"/>
  </cols>
  <sheetData>
    <row r="1" spans="1:401" s="26" customFormat="1" x14ac:dyDescent="0.2">
      <c r="A1" s="164" t="s">
        <v>61</v>
      </c>
      <c r="B1" s="197" t="s">
        <v>2659</v>
      </c>
      <c r="C1" s="21" t="s">
        <v>76</v>
      </c>
      <c r="D1" s="21" t="s">
        <v>77</v>
      </c>
      <c r="E1" s="21" t="s">
        <v>78</v>
      </c>
      <c r="F1" s="21" t="s">
        <v>79</v>
      </c>
      <c r="G1" s="21" t="s">
        <v>80</v>
      </c>
      <c r="H1" s="21" t="s">
        <v>81</v>
      </c>
      <c r="I1" s="21" t="s">
        <v>82</v>
      </c>
      <c r="J1" s="21" t="s">
        <v>83</v>
      </c>
      <c r="K1" s="21" t="s">
        <v>84</v>
      </c>
      <c r="L1" s="21" t="s">
        <v>85</v>
      </c>
      <c r="M1" s="21" t="s">
        <v>2660</v>
      </c>
      <c r="N1" s="21" t="s">
        <v>2661</v>
      </c>
      <c r="O1" s="21" t="s">
        <v>2662</v>
      </c>
      <c r="P1" s="21" t="s">
        <v>2663</v>
      </c>
      <c r="Q1" s="21" t="s">
        <v>86</v>
      </c>
      <c r="R1" s="21" t="s">
        <v>87</v>
      </c>
      <c r="S1" s="21" t="s">
        <v>88</v>
      </c>
      <c r="T1" s="21" t="s">
        <v>89</v>
      </c>
      <c r="U1" s="21" t="s">
        <v>90</v>
      </c>
      <c r="V1" s="21" t="s">
        <v>91</v>
      </c>
      <c r="W1" s="21" t="s">
        <v>92</v>
      </c>
      <c r="X1" s="21" t="s">
        <v>93</v>
      </c>
      <c r="Y1" s="21" t="s">
        <v>94</v>
      </c>
      <c r="Z1" s="21" t="s">
        <v>95</v>
      </c>
      <c r="AA1" s="21" t="s">
        <v>96</v>
      </c>
      <c r="AB1" s="21" t="s">
        <v>97</v>
      </c>
      <c r="AC1" s="21" t="s">
        <v>98</v>
      </c>
      <c r="AD1" s="21" t="s">
        <v>99</v>
      </c>
      <c r="AE1" s="21" t="s">
        <v>100</v>
      </c>
      <c r="AF1" s="21" t="s">
        <v>101</v>
      </c>
      <c r="AG1" s="21" t="s">
        <v>102</v>
      </c>
      <c r="AH1" s="21" t="s">
        <v>103</v>
      </c>
      <c r="AI1" s="21" t="s">
        <v>104</v>
      </c>
      <c r="AJ1" s="21" t="s">
        <v>105</v>
      </c>
      <c r="AK1" s="21" t="s">
        <v>106</v>
      </c>
      <c r="AL1" s="21" t="s">
        <v>107</v>
      </c>
      <c r="AM1" s="21" t="s">
        <v>108</v>
      </c>
      <c r="AN1" s="21" t="s">
        <v>109</v>
      </c>
      <c r="AO1" s="21" t="s">
        <v>110</v>
      </c>
      <c r="AP1" s="21" t="s">
        <v>111</v>
      </c>
      <c r="AQ1" s="21" t="s">
        <v>112</v>
      </c>
      <c r="AR1" s="21" t="s">
        <v>113</v>
      </c>
      <c r="AS1" s="21" t="s">
        <v>114</v>
      </c>
      <c r="AT1" s="21" t="s">
        <v>115</v>
      </c>
      <c r="AU1" s="21" t="s">
        <v>116</v>
      </c>
      <c r="AV1" s="21" t="s">
        <v>117</v>
      </c>
      <c r="AW1" s="21" t="s">
        <v>118</v>
      </c>
      <c r="AX1" s="21" t="s">
        <v>119</v>
      </c>
      <c r="AY1" s="21" t="s">
        <v>120</v>
      </c>
      <c r="AZ1" s="21" t="s">
        <v>121</v>
      </c>
      <c r="BA1" s="21" t="s">
        <v>122</v>
      </c>
      <c r="BB1" s="21" t="s">
        <v>123</v>
      </c>
      <c r="BC1" s="21" t="s">
        <v>124</v>
      </c>
      <c r="BD1" s="21" t="s">
        <v>125</v>
      </c>
      <c r="BE1" s="21" t="s">
        <v>126</v>
      </c>
      <c r="BF1" s="21" t="s">
        <v>127</v>
      </c>
      <c r="BG1" s="21" t="s">
        <v>128</v>
      </c>
      <c r="BH1" s="21" t="s">
        <v>129</v>
      </c>
      <c r="BI1" s="21" t="s">
        <v>130</v>
      </c>
      <c r="BJ1" s="21" t="s">
        <v>131</v>
      </c>
      <c r="BK1" s="21" t="s">
        <v>132</v>
      </c>
      <c r="BL1" s="21" t="s">
        <v>133</v>
      </c>
      <c r="BM1" s="21" t="s">
        <v>134</v>
      </c>
      <c r="BN1" s="21" t="s">
        <v>135</v>
      </c>
      <c r="BO1" s="21" t="s">
        <v>136</v>
      </c>
      <c r="BP1" s="21" t="s">
        <v>137</v>
      </c>
      <c r="BQ1" s="21" t="s">
        <v>138</v>
      </c>
      <c r="BR1" s="21" t="s">
        <v>139</v>
      </c>
      <c r="BS1" s="21" t="s">
        <v>2664</v>
      </c>
      <c r="BT1" s="21" t="s">
        <v>2665</v>
      </c>
      <c r="BU1" s="21" t="s">
        <v>2666</v>
      </c>
      <c r="BV1" s="21" t="s">
        <v>2667</v>
      </c>
      <c r="BW1" s="21" t="s">
        <v>140</v>
      </c>
      <c r="BX1" s="21" t="s">
        <v>141</v>
      </c>
      <c r="BY1" s="21" t="s">
        <v>142</v>
      </c>
      <c r="BZ1" s="21" t="s">
        <v>143</v>
      </c>
      <c r="CA1" s="21" t="s">
        <v>144</v>
      </c>
      <c r="CB1" s="21" t="s">
        <v>145</v>
      </c>
      <c r="CC1" s="21" t="s">
        <v>146</v>
      </c>
      <c r="CD1" s="21" t="s">
        <v>147</v>
      </c>
      <c r="CE1" s="21" t="s">
        <v>148</v>
      </c>
      <c r="CF1" s="21" t="s">
        <v>149</v>
      </c>
      <c r="CG1" s="21" t="s">
        <v>150</v>
      </c>
      <c r="CH1" s="21" t="s">
        <v>151</v>
      </c>
      <c r="CI1" s="21" t="s">
        <v>152</v>
      </c>
      <c r="CJ1" s="21" t="s">
        <v>153</v>
      </c>
      <c r="CK1" s="21" t="s">
        <v>154</v>
      </c>
      <c r="CL1" s="21" t="s">
        <v>155</v>
      </c>
      <c r="CM1" s="21" t="s">
        <v>156</v>
      </c>
      <c r="CN1" s="21" t="s">
        <v>157</v>
      </c>
      <c r="CO1" s="21" t="s">
        <v>158</v>
      </c>
      <c r="CP1" s="21" t="s">
        <v>159</v>
      </c>
      <c r="CQ1" s="21" t="s">
        <v>160</v>
      </c>
      <c r="CR1" s="21" t="s">
        <v>161</v>
      </c>
      <c r="CS1" s="21" t="s">
        <v>162</v>
      </c>
      <c r="CT1" s="21" t="s">
        <v>163</v>
      </c>
      <c r="CU1" s="21" t="s">
        <v>164</v>
      </c>
      <c r="CV1" s="21" t="s">
        <v>165</v>
      </c>
      <c r="CW1" s="21" t="s">
        <v>166</v>
      </c>
      <c r="CX1" s="21" t="s">
        <v>167</v>
      </c>
      <c r="CY1" s="21" t="s">
        <v>168</v>
      </c>
      <c r="CZ1" s="21" t="s">
        <v>169</v>
      </c>
      <c r="DA1" s="21" t="s">
        <v>170</v>
      </c>
      <c r="DB1" s="21" t="s">
        <v>171</v>
      </c>
      <c r="DC1" s="21" t="s">
        <v>172</v>
      </c>
      <c r="DD1" s="21" t="s">
        <v>173</v>
      </c>
      <c r="DE1" s="21" t="s">
        <v>174</v>
      </c>
      <c r="DF1" s="21" t="s">
        <v>175</v>
      </c>
      <c r="DG1" s="21" t="s">
        <v>176</v>
      </c>
      <c r="DH1" s="21" t="s">
        <v>177</v>
      </c>
      <c r="DI1" s="21" t="s">
        <v>178</v>
      </c>
      <c r="DJ1" s="21" t="s">
        <v>179</v>
      </c>
      <c r="DK1" s="21" t="s">
        <v>180</v>
      </c>
      <c r="DL1" s="21" t="s">
        <v>181</v>
      </c>
      <c r="DM1" s="21" t="s">
        <v>182</v>
      </c>
      <c r="DN1" s="21" t="s">
        <v>2668</v>
      </c>
      <c r="DO1" s="21" t="s">
        <v>2669</v>
      </c>
      <c r="DP1" s="21" t="s">
        <v>2670</v>
      </c>
      <c r="DQ1" s="21" t="s">
        <v>2671</v>
      </c>
      <c r="DR1" s="21" t="s">
        <v>183</v>
      </c>
      <c r="DS1" s="21" t="s">
        <v>184</v>
      </c>
      <c r="DT1" s="21" t="s">
        <v>185</v>
      </c>
      <c r="DU1" s="21" t="s">
        <v>186</v>
      </c>
      <c r="DV1" s="21" t="s">
        <v>2672</v>
      </c>
      <c r="DW1" s="21" t="s">
        <v>2673</v>
      </c>
      <c r="DX1" s="21" t="s">
        <v>2674</v>
      </c>
      <c r="DY1" s="21" t="s">
        <v>2675</v>
      </c>
      <c r="DZ1" s="21" t="s">
        <v>187</v>
      </c>
      <c r="EA1" s="21" t="s">
        <v>188</v>
      </c>
      <c r="EB1" s="21" t="s">
        <v>189</v>
      </c>
      <c r="EC1" s="21" t="s">
        <v>190</v>
      </c>
      <c r="ED1" s="21" t="s">
        <v>191</v>
      </c>
      <c r="EE1" s="21" t="s">
        <v>192</v>
      </c>
      <c r="EF1" s="21" t="s">
        <v>193</v>
      </c>
      <c r="EG1" s="21" t="s">
        <v>194</v>
      </c>
      <c r="EH1" s="21" t="s">
        <v>195</v>
      </c>
      <c r="EI1" s="36" t="s">
        <v>196</v>
      </c>
      <c r="EJ1" s="36" t="s">
        <v>197</v>
      </c>
      <c r="EK1" s="36" t="s">
        <v>198</v>
      </c>
      <c r="EL1" s="36" t="s">
        <v>199</v>
      </c>
      <c r="EM1" s="36" t="s">
        <v>200</v>
      </c>
      <c r="EN1" s="36" t="s">
        <v>201</v>
      </c>
      <c r="EO1" s="36" t="s">
        <v>202</v>
      </c>
      <c r="EP1" s="36" t="s">
        <v>203</v>
      </c>
      <c r="EQ1" s="36" t="s">
        <v>204</v>
      </c>
      <c r="ER1" s="36" t="s">
        <v>205</v>
      </c>
      <c r="ES1" s="36" t="s">
        <v>206</v>
      </c>
      <c r="ET1" s="36" t="s">
        <v>207</v>
      </c>
      <c r="EU1" s="36" t="s">
        <v>208</v>
      </c>
      <c r="EV1" s="36" t="s">
        <v>209</v>
      </c>
      <c r="EW1" s="36" t="s">
        <v>210</v>
      </c>
      <c r="EX1" s="36" t="s">
        <v>211</v>
      </c>
      <c r="EY1" s="36" t="s">
        <v>212</v>
      </c>
      <c r="EZ1" s="36" t="s">
        <v>213</v>
      </c>
      <c r="FA1" s="36" t="s">
        <v>214</v>
      </c>
      <c r="FB1" s="36" t="s">
        <v>215</v>
      </c>
      <c r="FC1" s="36" t="s">
        <v>216</v>
      </c>
      <c r="FD1" s="36" t="s">
        <v>217</v>
      </c>
      <c r="FE1" s="36" t="s">
        <v>2676</v>
      </c>
      <c r="FF1" s="36" t="s">
        <v>2677</v>
      </c>
      <c r="FG1" s="36" t="s">
        <v>2678</v>
      </c>
      <c r="FH1" s="36" t="s">
        <v>2679</v>
      </c>
      <c r="FI1" s="36" t="s">
        <v>218</v>
      </c>
      <c r="FJ1" s="36" t="s">
        <v>219</v>
      </c>
      <c r="FK1" s="36" t="s">
        <v>220</v>
      </c>
      <c r="FL1" s="36" t="s">
        <v>221</v>
      </c>
      <c r="FM1" s="36" t="s">
        <v>222</v>
      </c>
      <c r="FN1" s="36" t="s">
        <v>223</v>
      </c>
      <c r="FO1" s="36" t="s">
        <v>224</v>
      </c>
      <c r="FP1" s="36" t="s">
        <v>225</v>
      </c>
      <c r="FQ1" s="36" t="s">
        <v>226</v>
      </c>
      <c r="FR1" s="36" t="s">
        <v>227</v>
      </c>
      <c r="FS1" s="36" t="s">
        <v>228</v>
      </c>
      <c r="FT1" s="36" t="s">
        <v>229</v>
      </c>
      <c r="FU1" s="36" t="s">
        <v>1582</v>
      </c>
      <c r="FV1" s="36" t="s">
        <v>1583</v>
      </c>
      <c r="FW1" s="36" t="s">
        <v>1584</v>
      </c>
      <c r="FX1" s="36" t="s">
        <v>1585</v>
      </c>
      <c r="FY1" s="36" t="s">
        <v>2680</v>
      </c>
      <c r="FZ1" s="36" t="s">
        <v>2681</v>
      </c>
      <c r="GA1" s="36" t="s">
        <v>1586</v>
      </c>
      <c r="GB1" s="36" t="s">
        <v>1587</v>
      </c>
      <c r="GC1" s="36" t="s">
        <v>230</v>
      </c>
      <c r="GD1" s="36" t="s">
        <v>231</v>
      </c>
      <c r="GE1" s="36" t="s">
        <v>232</v>
      </c>
      <c r="GF1" s="36" t="s">
        <v>233</v>
      </c>
      <c r="GG1" s="36" t="s">
        <v>234</v>
      </c>
      <c r="GH1" s="36" t="s">
        <v>235</v>
      </c>
      <c r="GI1" s="36" t="s">
        <v>236</v>
      </c>
      <c r="GJ1" s="36" t="s">
        <v>237</v>
      </c>
      <c r="GK1" s="36" t="s">
        <v>238</v>
      </c>
      <c r="GL1" s="36" t="s">
        <v>239</v>
      </c>
      <c r="GM1" s="36" t="s">
        <v>240</v>
      </c>
      <c r="GN1" s="36" t="s">
        <v>241</v>
      </c>
      <c r="GO1" s="36" t="s">
        <v>242</v>
      </c>
      <c r="GP1" s="36" t="s">
        <v>243</v>
      </c>
      <c r="GQ1" s="36" t="s">
        <v>244</v>
      </c>
      <c r="GR1" s="36" t="s">
        <v>245</v>
      </c>
      <c r="GS1" s="36" t="s">
        <v>2682</v>
      </c>
      <c r="GT1" s="36" t="s">
        <v>2683</v>
      </c>
      <c r="GU1" s="36" t="s">
        <v>246</v>
      </c>
      <c r="GV1" s="36" t="s">
        <v>247</v>
      </c>
      <c r="GW1" s="36" t="s">
        <v>248</v>
      </c>
      <c r="GX1" s="36" t="s">
        <v>249</v>
      </c>
      <c r="GY1" s="36" t="s">
        <v>250</v>
      </c>
      <c r="GZ1" s="36" t="s">
        <v>251</v>
      </c>
      <c r="HA1" s="36" t="s">
        <v>2684</v>
      </c>
      <c r="HB1" s="36" t="s">
        <v>2685</v>
      </c>
      <c r="HC1" s="36" t="s">
        <v>252</v>
      </c>
      <c r="HD1" s="36" t="s">
        <v>253</v>
      </c>
      <c r="HE1" s="36" t="s">
        <v>254</v>
      </c>
      <c r="HF1" s="36" t="s">
        <v>255</v>
      </c>
      <c r="HG1" s="36" t="s">
        <v>2686</v>
      </c>
      <c r="HH1" s="36" t="s">
        <v>2687</v>
      </c>
      <c r="HI1" s="36" t="s">
        <v>256</v>
      </c>
      <c r="HJ1" s="36" t="s">
        <v>257</v>
      </c>
      <c r="HK1" s="36" t="s">
        <v>258</v>
      </c>
      <c r="HL1" s="36" t="s">
        <v>259</v>
      </c>
      <c r="HM1" s="36" t="s">
        <v>2688</v>
      </c>
      <c r="HN1" s="36" t="s">
        <v>2689</v>
      </c>
      <c r="HO1" s="36" t="s">
        <v>260</v>
      </c>
      <c r="HP1" s="36" t="s">
        <v>261</v>
      </c>
      <c r="HQ1" s="36" t="s">
        <v>262</v>
      </c>
      <c r="HR1" s="36" t="s">
        <v>263</v>
      </c>
      <c r="HS1" s="36" t="s">
        <v>264</v>
      </c>
      <c r="HT1" s="36" t="s">
        <v>265</v>
      </c>
      <c r="HU1" s="36" t="s">
        <v>266</v>
      </c>
      <c r="HV1" s="36" t="s">
        <v>267</v>
      </c>
      <c r="HW1" s="36" t="s">
        <v>268</v>
      </c>
      <c r="HX1" s="36" t="s">
        <v>269</v>
      </c>
      <c r="HY1" s="36" t="s">
        <v>270</v>
      </c>
      <c r="HZ1" s="36" t="s">
        <v>271</v>
      </c>
      <c r="IA1" s="36" t="s">
        <v>272</v>
      </c>
      <c r="IB1" s="36" t="s">
        <v>273</v>
      </c>
      <c r="IC1" s="36" t="s">
        <v>2690</v>
      </c>
      <c r="ID1" s="36" t="s">
        <v>2691</v>
      </c>
      <c r="IE1" s="36" t="s">
        <v>1588</v>
      </c>
      <c r="IF1" s="36" t="s">
        <v>1589</v>
      </c>
      <c r="IG1" s="36" t="s">
        <v>2692</v>
      </c>
      <c r="IH1" s="36" t="s">
        <v>2693</v>
      </c>
      <c r="II1" s="36" t="s">
        <v>274</v>
      </c>
      <c r="IJ1" s="36" t="s">
        <v>275</v>
      </c>
      <c r="IK1" s="36" t="s">
        <v>276</v>
      </c>
      <c r="IL1" s="36" t="s">
        <v>277</v>
      </c>
      <c r="IM1" s="36" t="s">
        <v>278</v>
      </c>
      <c r="IN1" s="36" t="s">
        <v>279</v>
      </c>
      <c r="IO1" s="36" t="s">
        <v>2694</v>
      </c>
      <c r="IP1" s="36" t="s">
        <v>2695</v>
      </c>
      <c r="IQ1" s="36" t="s">
        <v>280</v>
      </c>
      <c r="IR1" s="36" t="s">
        <v>281</v>
      </c>
      <c r="IS1" s="36" t="s">
        <v>2696</v>
      </c>
      <c r="IT1" s="36" t="s">
        <v>2697</v>
      </c>
      <c r="IU1" s="36" t="s">
        <v>282</v>
      </c>
      <c r="IV1" s="36" t="s">
        <v>283</v>
      </c>
      <c r="IW1" s="36" t="s">
        <v>284</v>
      </c>
      <c r="IX1" s="36" t="s">
        <v>285</v>
      </c>
      <c r="IY1" s="36" t="s">
        <v>286</v>
      </c>
      <c r="IZ1" s="36" t="s">
        <v>287</v>
      </c>
      <c r="JA1" s="36" t="s">
        <v>288</v>
      </c>
      <c r="JB1" s="36" t="s">
        <v>289</v>
      </c>
      <c r="JC1" s="36" t="s">
        <v>290</v>
      </c>
      <c r="JD1" s="36" t="s">
        <v>291</v>
      </c>
      <c r="JE1" s="36" t="s">
        <v>292</v>
      </c>
      <c r="JF1" s="36" t="s">
        <v>293</v>
      </c>
      <c r="JG1" s="36" t="s">
        <v>294</v>
      </c>
      <c r="JH1" s="36" t="s">
        <v>295</v>
      </c>
      <c r="JI1" s="36" t="s">
        <v>296</v>
      </c>
      <c r="JJ1" s="36" t="s">
        <v>297</v>
      </c>
      <c r="JK1" s="36" t="s">
        <v>2698</v>
      </c>
      <c r="JL1" s="36" t="s">
        <v>2699</v>
      </c>
      <c r="JM1" s="36" t="s">
        <v>298</v>
      </c>
      <c r="JN1" s="36" t="s">
        <v>299</v>
      </c>
      <c r="JO1" s="36" t="s">
        <v>300</v>
      </c>
      <c r="JP1" s="36" t="s">
        <v>301</v>
      </c>
      <c r="JQ1" s="36" t="s">
        <v>302</v>
      </c>
      <c r="JR1" s="36" t="s">
        <v>303</v>
      </c>
      <c r="JS1" s="36" t="s">
        <v>2700</v>
      </c>
      <c r="JT1" s="36" t="s">
        <v>2701</v>
      </c>
      <c r="JU1" s="36" t="s">
        <v>304</v>
      </c>
      <c r="JV1" s="36" t="s">
        <v>305</v>
      </c>
      <c r="JW1" s="36" t="s">
        <v>306</v>
      </c>
      <c r="JX1" s="36" t="s">
        <v>307</v>
      </c>
      <c r="JY1" s="36" t="s">
        <v>308</v>
      </c>
      <c r="JZ1" s="36" t="s">
        <v>309</v>
      </c>
      <c r="KA1" s="36" t="s">
        <v>310</v>
      </c>
      <c r="KB1" s="36" t="s">
        <v>311</v>
      </c>
      <c r="KC1" s="36" t="s">
        <v>312</v>
      </c>
      <c r="KD1" s="36" t="s">
        <v>313</v>
      </c>
      <c r="KE1" s="36" t="s">
        <v>314</v>
      </c>
      <c r="KF1" s="36" t="s">
        <v>315</v>
      </c>
      <c r="KG1" s="36" t="s">
        <v>316</v>
      </c>
      <c r="KH1" s="36" t="s">
        <v>317</v>
      </c>
      <c r="KI1" s="36" t="s">
        <v>318</v>
      </c>
      <c r="KJ1" s="36" t="s">
        <v>319</v>
      </c>
      <c r="KK1" s="36" t="s">
        <v>320</v>
      </c>
      <c r="KL1" s="36" t="s">
        <v>321</v>
      </c>
      <c r="KM1" s="36" t="s">
        <v>322</v>
      </c>
      <c r="KN1" s="36" t="s">
        <v>323</v>
      </c>
      <c r="KO1" s="36" t="s">
        <v>324</v>
      </c>
      <c r="KP1" s="36" t="s">
        <v>325</v>
      </c>
      <c r="KQ1" s="36" t="s">
        <v>326</v>
      </c>
      <c r="KR1" s="36" t="s">
        <v>327</v>
      </c>
      <c r="KS1" s="36" t="s">
        <v>328</v>
      </c>
      <c r="KT1" s="36" t="s">
        <v>329</v>
      </c>
      <c r="KU1" s="36" t="s">
        <v>330</v>
      </c>
      <c r="KV1" s="36" t="s">
        <v>331</v>
      </c>
      <c r="KW1" s="36" t="s">
        <v>332</v>
      </c>
      <c r="KX1" s="36" t="s">
        <v>333</v>
      </c>
      <c r="KY1" s="36" t="s">
        <v>1590</v>
      </c>
      <c r="KZ1" s="36" t="s">
        <v>1591</v>
      </c>
      <c r="LA1" s="36" t="s">
        <v>334</v>
      </c>
      <c r="LB1" s="36" t="s">
        <v>335</v>
      </c>
      <c r="LC1" s="36" t="s">
        <v>336</v>
      </c>
      <c r="LD1" s="36" t="s">
        <v>337</v>
      </c>
      <c r="LE1" s="36" t="s">
        <v>338</v>
      </c>
      <c r="LF1" s="36" t="s">
        <v>339</v>
      </c>
      <c r="LG1" s="36" t="s">
        <v>340</v>
      </c>
      <c r="LH1" s="36" t="s">
        <v>341</v>
      </c>
      <c r="LI1" s="36" t="s">
        <v>342</v>
      </c>
      <c r="LJ1" s="36" t="s">
        <v>343</v>
      </c>
      <c r="LK1" s="36" t="s">
        <v>344</v>
      </c>
      <c r="LL1" s="36" t="s">
        <v>345</v>
      </c>
      <c r="LM1" s="36" t="s">
        <v>346</v>
      </c>
      <c r="LN1" s="36" t="s">
        <v>347</v>
      </c>
      <c r="LO1" s="36" t="s">
        <v>348</v>
      </c>
      <c r="LP1" s="36" t="s">
        <v>349</v>
      </c>
      <c r="LQ1" s="36" t="s">
        <v>350</v>
      </c>
      <c r="LR1" s="36" t="s">
        <v>351</v>
      </c>
      <c r="LS1" s="36" t="s">
        <v>352</v>
      </c>
      <c r="LT1" s="36" t="s">
        <v>353</v>
      </c>
      <c r="LU1" s="36" t="s">
        <v>354</v>
      </c>
      <c r="LV1" s="36" t="s">
        <v>355</v>
      </c>
      <c r="LW1" s="36" t="s">
        <v>356</v>
      </c>
      <c r="LX1" s="36" t="s">
        <v>357</v>
      </c>
      <c r="LY1" s="36" t="s">
        <v>358</v>
      </c>
      <c r="LZ1" s="36" t="s">
        <v>359</v>
      </c>
      <c r="MA1" s="152" t="s">
        <v>2702</v>
      </c>
      <c r="MB1" s="36" t="s">
        <v>2703</v>
      </c>
      <c r="MC1" s="36" t="s">
        <v>2704</v>
      </c>
      <c r="MD1" s="36" t="s">
        <v>2705</v>
      </c>
      <c r="ME1" s="36" t="s">
        <v>360</v>
      </c>
      <c r="MF1" s="36" t="s">
        <v>361</v>
      </c>
      <c r="MG1" s="36" t="s">
        <v>1592</v>
      </c>
      <c r="MH1" s="36" t="s">
        <v>1593</v>
      </c>
      <c r="MI1" s="36" t="s">
        <v>362</v>
      </c>
      <c r="MJ1" s="36" t="s">
        <v>363</v>
      </c>
      <c r="MK1" s="36" t="s">
        <v>364</v>
      </c>
      <c r="ML1" s="36" t="s">
        <v>365</v>
      </c>
      <c r="MM1" s="36" t="s">
        <v>366</v>
      </c>
      <c r="MN1" s="36" t="s">
        <v>367</v>
      </c>
      <c r="MO1" s="36" t="s">
        <v>368</v>
      </c>
      <c r="MP1" s="36" t="s">
        <v>369</v>
      </c>
      <c r="MQ1" s="36" t="s">
        <v>370</v>
      </c>
      <c r="MR1" s="36" t="s">
        <v>371</v>
      </c>
      <c r="MS1" s="36" t="s">
        <v>372</v>
      </c>
      <c r="MT1" s="36" t="s">
        <v>373</v>
      </c>
      <c r="MU1" s="36" t="s">
        <v>374</v>
      </c>
      <c r="MV1" s="36" t="s">
        <v>375</v>
      </c>
      <c r="MW1" s="36" t="s">
        <v>376</v>
      </c>
      <c r="MX1" s="36" t="s">
        <v>377</v>
      </c>
      <c r="MY1" s="36" t="s">
        <v>378</v>
      </c>
      <c r="MZ1" s="36" t="s">
        <v>379</v>
      </c>
      <c r="NA1" s="36" t="s">
        <v>380</v>
      </c>
      <c r="NB1" s="36" t="s">
        <v>381</v>
      </c>
      <c r="NC1" s="36" t="s">
        <v>382</v>
      </c>
      <c r="ND1" s="36" t="s">
        <v>383</v>
      </c>
      <c r="NE1" s="36" t="s">
        <v>384</v>
      </c>
      <c r="NF1" s="36" t="s">
        <v>385</v>
      </c>
      <c r="NG1" s="36" t="s">
        <v>386</v>
      </c>
      <c r="NH1" s="36" t="s">
        <v>387</v>
      </c>
      <c r="NI1" s="36" t="s">
        <v>388</v>
      </c>
      <c r="NJ1" s="36" t="s">
        <v>389</v>
      </c>
      <c r="NK1" s="36" t="s">
        <v>390</v>
      </c>
      <c r="NL1" s="36" t="s">
        <v>391</v>
      </c>
      <c r="NM1" s="36" t="s">
        <v>392</v>
      </c>
      <c r="NN1" s="36" t="s">
        <v>393</v>
      </c>
      <c r="NO1" s="36" t="s">
        <v>394</v>
      </c>
      <c r="NP1" s="36" t="s">
        <v>395</v>
      </c>
      <c r="NQ1" s="21" t="s">
        <v>2880</v>
      </c>
      <c r="NR1" s="21" t="s">
        <v>2881</v>
      </c>
      <c r="NS1" s="21" t="s">
        <v>67</v>
      </c>
      <c r="NT1" s="21" t="s">
        <v>68</v>
      </c>
      <c r="NU1" s="21" t="s">
        <v>69</v>
      </c>
      <c r="NV1" s="21" t="s">
        <v>70</v>
      </c>
      <c r="NW1" s="21" t="s">
        <v>71</v>
      </c>
      <c r="NX1" s="21" t="s">
        <v>72</v>
      </c>
      <c r="NY1" s="21" t="s">
        <v>2888</v>
      </c>
      <c r="NZ1" s="21" t="s">
        <v>2889</v>
      </c>
      <c r="OA1" s="21" t="s">
        <v>73</v>
      </c>
      <c r="OB1" s="21" t="s">
        <v>74</v>
      </c>
      <c r="OC1" s="21" t="s">
        <v>2890</v>
      </c>
      <c r="OD1" s="21" t="s">
        <v>2891</v>
      </c>
      <c r="OE1" s="21" t="s">
        <v>75</v>
      </c>
      <c r="OF1" s="21" t="s">
        <v>2658</v>
      </c>
      <c r="OG1" s="21" t="s">
        <v>2892</v>
      </c>
      <c r="OH1" s="21" t="s">
        <v>62</v>
      </c>
      <c r="OI1" s="21" t="s">
        <v>63</v>
      </c>
      <c r="OJ1" s="21" t="s">
        <v>64</v>
      </c>
      <c r="OK1" s="21" t="s">
        <v>65</v>
      </c>
    </row>
    <row r="2" spans="1:401" s="21" customFormat="1" ht="15.75" x14ac:dyDescent="0.25">
      <c r="A2" s="166" t="str">
        <f>Liste[[#This Row],[Siren]]</f>
        <v>Siren</v>
      </c>
      <c r="B2" s="198" t="e">
        <f>Liste[[#This Row],[Dénomination]]&amp;" - comptes "&amp;YEAR(Liste[[#This Row],[Date de cloture de l''exercice]])</f>
        <v>#VALUE!</v>
      </c>
      <c r="C2" s="167" t="s">
        <v>2879</v>
      </c>
      <c r="D2" s="167" t="s">
        <v>2900</v>
      </c>
      <c r="E2" s="167" t="s">
        <v>2901</v>
      </c>
      <c r="F2" s="167" t="s">
        <v>2902</v>
      </c>
      <c r="G2" s="167" t="s">
        <v>2903</v>
      </c>
      <c r="H2" s="167" t="s">
        <v>2904</v>
      </c>
      <c r="I2" s="167" t="s">
        <v>2905</v>
      </c>
      <c r="J2" s="167" t="s">
        <v>2906</v>
      </c>
      <c r="K2" s="167" t="s">
        <v>2907</v>
      </c>
      <c r="L2" s="167" t="s">
        <v>85</v>
      </c>
      <c r="M2" s="167" t="s">
        <v>2908</v>
      </c>
      <c r="N2" s="167" t="s">
        <v>2909</v>
      </c>
      <c r="O2" s="167" t="s">
        <v>2910</v>
      </c>
      <c r="P2" s="167" t="s">
        <v>2911</v>
      </c>
      <c r="Q2" s="167" t="s">
        <v>2912</v>
      </c>
      <c r="R2" s="167" t="s">
        <v>2913</v>
      </c>
      <c r="S2" s="167" t="s">
        <v>2914</v>
      </c>
      <c r="T2" s="167" t="s">
        <v>89</v>
      </c>
      <c r="U2" s="167" t="s">
        <v>2915</v>
      </c>
      <c r="V2" s="167" t="s">
        <v>2916</v>
      </c>
      <c r="W2" s="167" t="s">
        <v>2917</v>
      </c>
      <c r="X2" s="167" t="s">
        <v>93</v>
      </c>
      <c r="Y2" s="167" t="s">
        <v>2918</v>
      </c>
      <c r="Z2" s="167" t="s">
        <v>2919</v>
      </c>
      <c r="AA2" s="167" t="s">
        <v>2920</v>
      </c>
      <c r="AB2" s="167" t="s">
        <v>2921</v>
      </c>
      <c r="AC2" s="167" t="s">
        <v>2922</v>
      </c>
      <c r="AD2" s="167" t="s">
        <v>2923</v>
      </c>
      <c r="AE2" s="167" t="s">
        <v>2924</v>
      </c>
      <c r="AF2" s="167" t="s">
        <v>101</v>
      </c>
      <c r="AG2" s="167" t="s">
        <v>2925</v>
      </c>
      <c r="AH2" s="167" t="s">
        <v>2926</v>
      </c>
      <c r="AI2" s="167" t="s">
        <v>2927</v>
      </c>
      <c r="AJ2" s="167" t="s">
        <v>105</v>
      </c>
      <c r="AK2" s="167" t="s">
        <v>2928</v>
      </c>
      <c r="AL2" s="167" t="s">
        <v>2929</v>
      </c>
      <c r="AM2" s="167" t="s">
        <v>2930</v>
      </c>
      <c r="AN2" s="167" t="s">
        <v>2931</v>
      </c>
      <c r="AO2" s="167" t="s">
        <v>2932</v>
      </c>
      <c r="AP2" s="167" t="s">
        <v>2933</v>
      </c>
      <c r="AQ2" s="167" t="s">
        <v>2934</v>
      </c>
      <c r="AR2" s="167" t="s">
        <v>2935</v>
      </c>
      <c r="AS2" s="167" t="s">
        <v>2936</v>
      </c>
      <c r="AT2" s="167" t="s">
        <v>2937</v>
      </c>
      <c r="AU2" s="167" t="s">
        <v>2938</v>
      </c>
      <c r="AV2" s="167" t="s">
        <v>2939</v>
      </c>
      <c r="AW2" s="167" t="s">
        <v>2940</v>
      </c>
      <c r="AX2" s="167" t="s">
        <v>2941</v>
      </c>
      <c r="AY2" s="167" t="s">
        <v>2942</v>
      </c>
      <c r="AZ2" s="167" t="s">
        <v>2943</v>
      </c>
      <c r="BA2" s="167" t="s">
        <v>2944</v>
      </c>
      <c r="BB2" s="167" t="s">
        <v>2945</v>
      </c>
      <c r="BC2" s="167" t="s">
        <v>2946</v>
      </c>
      <c r="BD2" s="167" t="s">
        <v>2947</v>
      </c>
      <c r="BE2" s="167" t="s">
        <v>2948</v>
      </c>
      <c r="BF2" s="167" t="s">
        <v>2949</v>
      </c>
      <c r="BG2" s="167" t="s">
        <v>2950</v>
      </c>
      <c r="BH2" s="167" t="s">
        <v>2951</v>
      </c>
      <c r="BI2" s="167" t="s">
        <v>2952</v>
      </c>
      <c r="BJ2" s="167" t="s">
        <v>131</v>
      </c>
      <c r="BK2" s="167" t="s">
        <v>2953</v>
      </c>
      <c r="BL2" s="167" t="s">
        <v>2954</v>
      </c>
      <c r="BM2" s="167" t="s">
        <v>2955</v>
      </c>
      <c r="BN2" s="167" t="s">
        <v>135</v>
      </c>
      <c r="BO2" s="167" t="s">
        <v>2956</v>
      </c>
      <c r="BP2" s="167" t="s">
        <v>2957</v>
      </c>
      <c r="BQ2" s="167" t="s">
        <v>2958</v>
      </c>
      <c r="BR2" s="167" t="s">
        <v>2959</v>
      </c>
      <c r="BS2" s="167" t="s">
        <v>2960</v>
      </c>
      <c r="BT2" s="167" t="s">
        <v>2961</v>
      </c>
      <c r="BU2" s="167" t="s">
        <v>2962</v>
      </c>
      <c r="BV2" s="167" t="s">
        <v>2963</v>
      </c>
      <c r="BW2" s="167" t="s">
        <v>2964</v>
      </c>
      <c r="BX2" s="167" t="s">
        <v>2965</v>
      </c>
      <c r="BY2" s="167" t="s">
        <v>2966</v>
      </c>
      <c r="BZ2" s="167" t="s">
        <v>2967</v>
      </c>
      <c r="CA2" s="167" t="s">
        <v>2968</v>
      </c>
      <c r="CB2" s="167" t="s">
        <v>2969</v>
      </c>
      <c r="CC2" s="167" t="s">
        <v>146</v>
      </c>
      <c r="CD2" s="167" t="s">
        <v>2970</v>
      </c>
      <c r="CE2" s="167" t="s">
        <v>2971</v>
      </c>
      <c r="CF2" s="167" t="s">
        <v>2972</v>
      </c>
      <c r="CG2" s="167" t="s">
        <v>2973</v>
      </c>
      <c r="CH2" s="167" t="s">
        <v>2974</v>
      </c>
      <c r="CI2" s="167" t="s">
        <v>2975</v>
      </c>
      <c r="CJ2" s="167" t="s">
        <v>2976</v>
      </c>
      <c r="CK2" s="167" t="s">
        <v>154</v>
      </c>
      <c r="CL2" s="167" t="s">
        <v>2977</v>
      </c>
      <c r="CM2" s="167" t="s">
        <v>2978</v>
      </c>
      <c r="CN2" s="167" t="s">
        <v>2979</v>
      </c>
      <c r="CO2" s="167" t="s">
        <v>158</v>
      </c>
      <c r="CP2" s="167" t="s">
        <v>2980</v>
      </c>
      <c r="CQ2" s="167" t="s">
        <v>2981</v>
      </c>
      <c r="CR2" s="167" t="s">
        <v>2982</v>
      </c>
      <c r="CS2" s="167" t="s">
        <v>162</v>
      </c>
      <c r="CT2" s="167" t="s">
        <v>2983</v>
      </c>
      <c r="CU2" s="167" t="s">
        <v>2984</v>
      </c>
      <c r="CV2" s="167" t="s">
        <v>2985</v>
      </c>
      <c r="CW2" s="167" t="s">
        <v>2986</v>
      </c>
      <c r="CX2" s="167" t="s">
        <v>2987</v>
      </c>
      <c r="CY2" s="167" t="s">
        <v>2988</v>
      </c>
      <c r="CZ2" s="167" t="s">
        <v>2989</v>
      </c>
      <c r="DA2" s="167" t="s">
        <v>2990</v>
      </c>
      <c r="DB2" s="167" t="s">
        <v>2991</v>
      </c>
      <c r="DC2" s="167" t="s">
        <v>2992</v>
      </c>
      <c r="DD2" s="167" t="s">
        <v>2993</v>
      </c>
      <c r="DE2" s="167" t="s">
        <v>174</v>
      </c>
      <c r="DF2" s="167" t="s">
        <v>2994</v>
      </c>
      <c r="DG2" s="167" t="s">
        <v>2995</v>
      </c>
      <c r="DH2" s="167" t="s">
        <v>2996</v>
      </c>
      <c r="DI2" s="167" t="s">
        <v>2997</v>
      </c>
      <c r="DJ2" s="167" t="s">
        <v>2998</v>
      </c>
      <c r="DK2" s="167" t="s">
        <v>2999</v>
      </c>
      <c r="DL2" s="167" t="s">
        <v>3000</v>
      </c>
      <c r="DM2" s="167" t="s">
        <v>182</v>
      </c>
      <c r="DN2" s="167" t="s">
        <v>3001</v>
      </c>
      <c r="DO2" s="167" t="s">
        <v>3002</v>
      </c>
      <c r="DP2" s="167" t="s">
        <v>3003</v>
      </c>
      <c r="DQ2" s="167" t="s">
        <v>3004</v>
      </c>
      <c r="DR2" s="167" t="s">
        <v>3005</v>
      </c>
      <c r="DS2" s="167" t="s">
        <v>3006</v>
      </c>
      <c r="DT2" s="167" t="s">
        <v>3007</v>
      </c>
      <c r="DU2" s="167" t="s">
        <v>3008</v>
      </c>
      <c r="DV2" s="167" t="s">
        <v>3009</v>
      </c>
      <c r="DW2" s="167" t="s">
        <v>3010</v>
      </c>
      <c r="DX2" s="167" t="s">
        <v>3011</v>
      </c>
      <c r="DY2" s="167" t="s">
        <v>3012</v>
      </c>
      <c r="DZ2" s="167" t="s">
        <v>3013</v>
      </c>
      <c r="EA2" s="167" t="s">
        <v>3014</v>
      </c>
      <c r="EB2" s="167" t="s">
        <v>189</v>
      </c>
      <c r="EC2" s="167" t="s">
        <v>3015</v>
      </c>
      <c r="ED2" s="167" t="s">
        <v>3016</v>
      </c>
      <c r="EE2" s="167" t="s">
        <v>3017</v>
      </c>
      <c r="EF2" s="167" t="s">
        <v>3018</v>
      </c>
      <c r="EG2" s="167" t="s">
        <v>3019</v>
      </c>
      <c r="EH2" s="167" t="s">
        <v>3020</v>
      </c>
      <c r="EI2" s="167" t="s">
        <v>3021</v>
      </c>
      <c r="EJ2" s="167" t="s">
        <v>197</v>
      </c>
      <c r="EK2" s="167" t="s">
        <v>3022</v>
      </c>
      <c r="EL2" s="167" t="s">
        <v>3023</v>
      </c>
      <c r="EM2" s="167" t="s">
        <v>3024</v>
      </c>
      <c r="EN2" s="167" t="s">
        <v>201</v>
      </c>
      <c r="EO2" s="167" t="s">
        <v>3025</v>
      </c>
      <c r="EP2" s="167" t="s">
        <v>3026</v>
      </c>
      <c r="EQ2" s="167" t="s">
        <v>3027</v>
      </c>
      <c r="ER2" s="167" t="s">
        <v>205</v>
      </c>
      <c r="ES2" s="167" t="s">
        <v>3028</v>
      </c>
      <c r="ET2" s="167" t="s">
        <v>3029</v>
      </c>
      <c r="EU2" s="167" t="s">
        <v>3030</v>
      </c>
      <c r="EV2" s="167" t="s">
        <v>3031</v>
      </c>
      <c r="EW2" s="167" t="s">
        <v>3032</v>
      </c>
      <c r="EX2" s="167" t="s">
        <v>3033</v>
      </c>
      <c r="EY2" s="167" t="s">
        <v>3034</v>
      </c>
      <c r="EZ2" s="167" t="s">
        <v>213</v>
      </c>
      <c r="FA2" s="167" t="s">
        <v>3035</v>
      </c>
      <c r="FB2" s="167" t="s">
        <v>3036</v>
      </c>
      <c r="FC2" s="167" t="s">
        <v>3037</v>
      </c>
      <c r="FD2" s="167" t="s">
        <v>3038</v>
      </c>
      <c r="FE2" s="167" t="s">
        <v>3039</v>
      </c>
      <c r="FF2" s="167" t="s">
        <v>3040</v>
      </c>
      <c r="FG2" s="167" t="s">
        <v>3041</v>
      </c>
      <c r="FH2" s="167" t="s">
        <v>3042</v>
      </c>
      <c r="FI2" s="167" t="s">
        <v>3043</v>
      </c>
      <c r="FJ2" s="167" t="s">
        <v>3044</v>
      </c>
      <c r="FK2" s="167" t="s">
        <v>3045</v>
      </c>
      <c r="FL2" s="167" t="s">
        <v>3046</v>
      </c>
      <c r="FM2" s="167" t="s">
        <v>3047</v>
      </c>
      <c r="FN2" s="167" t="s">
        <v>3048</v>
      </c>
      <c r="FO2" s="167" t="s">
        <v>3049</v>
      </c>
      <c r="FP2" s="167" t="s">
        <v>3050</v>
      </c>
      <c r="FQ2" s="167" t="s">
        <v>3051</v>
      </c>
      <c r="FR2" s="167" t="s">
        <v>3052</v>
      </c>
      <c r="FS2" s="167" t="s">
        <v>3053</v>
      </c>
      <c r="FT2" s="167" t="s">
        <v>3054</v>
      </c>
      <c r="FU2" s="167" t="s">
        <v>3055</v>
      </c>
      <c r="FV2" s="167" t="s">
        <v>3056</v>
      </c>
      <c r="FW2" s="167" t="s">
        <v>3057</v>
      </c>
      <c r="FX2" s="167" t="s">
        <v>3058</v>
      </c>
      <c r="FY2" s="167" t="s">
        <v>3059</v>
      </c>
      <c r="FZ2" s="167" t="s">
        <v>3060</v>
      </c>
      <c r="GA2" s="167" t="s">
        <v>3061</v>
      </c>
      <c r="GB2" s="167" t="s">
        <v>3062</v>
      </c>
      <c r="GC2" s="167" t="s">
        <v>3063</v>
      </c>
      <c r="GD2" s="167" t="s">
        <v>3064</v>
      </c>
      <c r="GE2" s="167" t="s">
        <v>3065</v>
      </c>
      <c r="GF2" s="167" t="s">
        <v>3066</v>
      </c>
      <c r="GG2" s="167" t="s">
        <v>3067</v>
      </c>
      <c r="GH2" s="167" t="s">
        <v>3068</v>
      </c>
      <c r="GI2" s="167" t="s">
        <v>3069</v>
      </c>
      <c r="GJ2" s="167" t="s">
        <v>3070</v>
      </c>
      <c r="GK2" s="167" t="s">
        <v>3071</v>
      </c>
      <c r="GL2" s="167" t="s">
        <v>3072</v>
      </c>
      <c r="GM2" s="167" t="s">
        <v>3073</v>
      </c>
      <c r="GN2" s="167" t="s">
        <v>3074</v>
      </c>
      <c r="GO2" s="167" t="s">
        <v>3075</v>
      </c>
      <c r="GP2" s="167" t="s">
        <v>3076</v>
      </c>
      <c r="GQ2" s="167" t="s">
        <v>3077</v>
      </c>
      <c r="GR2" s="167" t="s">
        <v>3078</v>
      </c>
      <c r="GS2" s="167" t="s">
        <v>3079</v>
      </c>
      <c r="GT2" s="167" t="s">
        <v>3080</v>
      </c>
      <c r="GU2" s="167" t="s">
        <v>3081</v>
      </c>
      <c r="GV2" s="167" t="s">
        <v>3082</v>
      </c>
      <c r="GW2" s="167" t="s">
        <v>3083</v>
      </c>
      <c r="GX2" s="167" t="s">
        <v>3084</v>
      </c>
      <c r="GY2" s="167" t="s">
        <v>250</v>
      </c>
      <c r="GZ2" s="167" t="s">
        <v>251</v>
      </c>
      <c r="HA2" s="167" t="s">
        <v>3085</v>
      </c>
      <c r="HB2" s="167" t="s">
        <v>3086</v>
      </c>
      <c r="HC2" s="167" t="s">
        <v>252</v>
      </c>
      <c r="HD2" s="167" t="s">
        <v>253</v>
      </c>
      <c r="HE2" s="167" t="s">
        <v>254</v>
      </c>
      <c r="HF2" s="167" t="s">
        <v>255</v>
      </c>
      <c r="HG2" s="167" t="s">
        <v>3087</v>
      </c>
      <c r="HH2" s="167" t="s">
        <v>3088</v>
      </c>
      <c r="HI2" s="167" t="s">
        <v>256</v>
      </c>
      <c r="HJ2" s="167" t="s">
        <v>257</v>
      </c>
      <c r="HK2" s="167" t="s">
        <v>3089</v>
      </c>
      <c r="HL2" s="167" t="s">
        <v>3090</v>
      </c>
      <c r="HM2" s="167" t="s">
        <v>3091</v>
      </c>
      <c r="HN2" s="167" t="s">
        <v>3092</v>
      </c>
      <c r="HO2" s="167" t="s">
        <v>260</v>
      </c>
      <c r="HP2" s="167" t="s">
        <v>261</v>
      </c>
      <c r="HQ2" s="167" t="s">
        <v>3093</v>
      </c>
      <c r="HR2" s="167" t="s">
        <v>3094</v>
      </c>
      <c r="HS2" s="167" t="s">
        <v>3095</v>
      </c>
      <c r="HT2" s="167" t="s">
        <v>3096</v>
      </c>
      <c r="HU2" s="167" t="s">
        <v>3097</v>
      </c>
      <c r="HV2" s="167" t="s">
        <v>3098</v>
      </c>
      <c r="HW2" s="167" t="s">
        <v>3099</v>
      </c>
      <c r="HX2" s="167" t="s">
        <v>3100</v>
      </c>
      <c r="HY2" s="167" t="s">
        <v>3101</v>
      </c>
      <c r="HZ2" s="167" t="s">
        <v>3102</v>
      </c>
      <c r="IA2" s="167" t="s">
        <v>3103</v>
      </c>
      <c r="IB2" s="167" t="s">
        <v>3104</v>
      </c>
      <c r="IC2" s="167" t="s">
        <v>3105</v>
      </c>
      <c r="ID2" s="167" t="s">
        <v>3106</v>
      </c>
      <c r="IE2" s="167" t="s">
        <v>3107</v>
      </c>
      <c r="IF2" s="167" t="s">
        <v>3108</v>
      </c>
      <c r="IG2" s="167" t="s">
        <v>3109</v>
      </c>
      <c r="IH2" s="167" t="s">
        <v>3110</v>
      </c>
      <c r="II2" s="167" t="s">
        <v>3111</v>
      </c>
      <c r="IJ2" s="167" t="s">
        <v>3112</v>
      </c>
      <c r="IK2" s="167" t="s">
        <v>3113</v>
      </c>
      <c r="IL2" s="167" t="s">
        <v>3114</v>
      </c>
      <c r="IM2" s="167" t="s">
        <v>3115</v>
      </c>
      <c r="IN2" s="167" t="s">
        <v>3116</v>
      </c>
      <c r="IO2" s="167" t="s">
        <v>3117</v>
      </c>
      <c r="IP2" s="167" t="s">
        <v>3118</v>
      </c>
      <c r="IQ2" s="167" t="s">
        <v>280</v>
      </c>
      <c r="IR2" s="167" t="s">
        <v>281</v>
      </c>
      <c r="IS2" s="167" t="s">
        <v>3119</v>
      </c>
      <c r="IT2" s="167" t="s">
        <v>3120</v>
      </c>
      <c r="IU2" s="167" t="s">
        <v>282</v>
      </c>
      <c r="IV2" s="167" t="s">
        <v>283</v>
      </c>
      <c r="IW2" s="167" t="s">
        <v>3121</v>
      </c>
      <c r="IX2" s="167" t="s">
        <v>3122</v>
      </c>
      <c r="IY2" s="167" t="s">
        <v>286</v>
      </c>
      <c r="IZ2" s="167" t="s">
        <v>287</v>
      </c>
      <c r="JA2" s="167" t="s">
        <v>288</v>
      </c>
      <c r="JB2" s="167" t="s">
        <v>289</v>
      </c>
      <c r="JC2" s="167" t="s">
        <v>290</v>
      </c>
      <c r="JD2" s="167" t="s">
        <v>291</v>
      </c>
      <c r="JE2" s="167" t="s">
        <v>292</v>
      </c>
      <c r="JF2" s="167" t="s">
        <v>293</v>
      </c>
      <c r="JG2" s="167" t="s">
        <v>3123</v>
      </c>
      <c r="JH2" s="167" t="s">
        <v>3124</v>
      </c>
      <c r="JI2" s="167" t="s">
        <v>3125</v>
      </c>
      <c r="JJ2" s="167" t="s">
        <v>3126</v>
      </c>
      <c r="JK2" s="167" t="s">
        <v>3127</v>
      </c>
      <c r="JL2" s="167" t="s">
        <v>3128</v>
      </c>
      <c r="JM2" s="167" t="s">
        <v>3129</v>
      </c>
      <c r="JN2" s="167" t="s">
        <v>3130</v>
      </c>
      <c r="JO2" s="167" t="s">
        <v>300</v>
      </c>
      <c r="JP2" s="167" t="s">
        <v>301</v>
      </c>
      <c r="JQ2" s="167" t="s">
        <v>302</v>
      </c>
      <c r="JR2" s="167" t="s">
        <v>303</v>
      </c>
      <c r="JS2" s="167" t="s">
        <v>3131</v>
      </c>
      <c r="JT2" s="167" t="s">
        <v>3132</v>
      </c>
      <c r="JU2" s="167" t="s">
        <v>3133</v>
      </c>
      <c r="JV2" s="167" t="s">
        <v>3134</v>
      </c>
      <c r="JW2" s="167" t="s">
        <v>3135</v>
      </c>
      <c r="JX2" s="167" t="s">
        <v>3136</v>
      </c>
      <c r="JY2" s="167" t="s">
        <v>3137</v>
      </c>
      <c r="JZ2" s="167" t="s">
        <v>309</v>
      </c>
      <c r="KA2" s="167" t="s">
        <v>3138</v>
      </c>
      <c r="KB2" s="167" t="s">
        <v>3139</v>
      </c>
      <c r="KC2" s="167" t="s">
        <v>3140</v>
      </c>
      <c r="KD2" s="167" t="s">
        <v>313</v>
      </c>
      <c r="KE2" s="167" t="s">
        <v>3141</v>
      </c>
      <c r="KF2" s="167" t="s">
        <v>3142</v>
      </c>
      <c r="KG2" s="167" t="s">
        <v>3143</v>
      </c>
      <c r="KH2" s="167" t="s">
        <v>317</v>
      </c>
      <c r="KI2" s="167" t="s">
        <v>3144</v>
      </c>
      <c r="KJ2" s="167" t="s">
        <v>3145</v>
      </c>
      <c r="KK2" s="167" t="s">
        <v>3146</v>
      </c>
      <c r="KL2" s="167" t="s">
        <v>3147</v>
      </c>
      <c r="KM2" s="167" t="s">
        <v>3148</v>
      </c>
      <c r="KN2" s="167" t="s">
        <v>3149</v>
      </c>
      <c r="KO2" s="167" t="s">
        <v>3150</v>
      </c>
      <c r="KP2" s="167" t="s">
        <v>3151</v>
      </c>
      <c r="KQ2" s="167" t="s">
        <v>3152</v>
      </c>
      <c r="KR2" s="167" t="s">
        <v>3153</v>
      </c>
      <c r="KS2" s="167" t="s">
        <v>3154</v>
      </c>
      <c r="KT2" s="167" t="s">
        <v>3155</v>
      </c>
      <c r="KU2" s="167" t="s">
        <v>3156</v>
      </c>
      <c r="KV2" s="167" t="s">
        <v>3157</v>
      </c>
      <c r="KW2" s="167" t="s">
        <v>3158</v>
      </c>
      <c r="KX2" s="167" t="s">
        <v>3159</v>
      </c>
      <c r="KY2" s="167" t="s">
        <v>3160</v>
      </c>
      <c r="KZ2" s="167" t="s">
        <v>3161</v>
      </c>
      <c r="LA2" s="167" t="s">
        <v>3162</v>
      </c>
      <c r="LB2" s="167" t="s">
        <v>3163</v>
      </c>
      <c r="LC2" s="167" t="s">
        <v>3164</v>
      </c>
      <c r="LD2" s="167" t="s">
        <v>3165</v>
      </c>
      <c r="LE2" s="167" t="s">
        <v>3166</v>
      </c>
      <c r="LF2" s="167" t="s">
        <v>3167</v>
      </c>
      <c r="LG2" s="167" t="s">
        <v>3168</v>
      </c>
      <c r="LH2" s="167" t="s">
        <v>3169</v>
      </c>
      <c r="LI2" s="167" t="s">
        <v>3170</v>
      </c>
      <c r="LJ2" s="167" t="s">
        <v>3171</v>
      </c>
      <c r="LK2" s="167" t="s">
        <v>3172</v>
      </c>
      <c r="LL2" s="167" t="s">
        <v>3173</v>
      </c>
      <c r="LM2" s="167" t="s">
        <v>3174</v>
      </c>
      <c r="LN2" s="167" t="s">
        <v>3175</v>
      </c>
      <c r="LO2" s="167" t="s">
        <v>3176</v>
      </c>
      <c r="LP2" s="167" t="s">
        <v>3177</v>
      </c>
      <c r="LQ2" s="167" t="s">
        <v>3178</v>
      </c>
      <c r="LR2" s="167" t="s">
        <v>3179</v>
      </c>
      <c r="LS2" s="167" t="s">
        <v>3180</v>
      </c>
      <c r="LT2" s="167" t="s">
        <v>3181</v>
      </c>
      <c r="LU2" s="167" t="s">
        <v>3182</v>
      </c>
      <c r="LV2" s="167" t="s">
        <v>3183</v>
      </c>
      <c r="LW2" s="167" t="s">
        <v>3184</v>
      </c>
      <c r="LX2" s="167" t="s">
        <v>3185</v>
      </c>
      <c r="LY2" s="167" t="s">
        <v>3186</v>
      </c>
      <c r="LZ2" s="167" t="s">
        <v>3187</v>
      </c>
      <c r="MA2" s="167" t="s">
        <v>3188</v>
      </c>
      <c r="MB2" s="167" t="s">
        <v>3189</v>
      </c>
      <c r="MC2" s="167" t="s">
        <v>3190</v>
      </c>
      <c r="MD2" s="167" t="s">
        <v>3191</v>
      </c>
      <c r="ME2" s="167" t="s">
        <v>3192</v>
      </c>
      <c r="MF2" s="167" t="s">
        <v>3193</v>
      </c>
      <c r="MG2" s="167" t="s">
        <v>3194</v>
      </c>
      <c r="MH2" s="167" t="s">
        <v>3195</v>
      </c>
      <c r="MI2" s="167" t="s">
        <v>3196</v>
      </c>
      <c r="MJ2" s="167" t="s">
        <v>3197</v>
      </c>
      <c r="MK2" s="167" t="s">
        <v>3198</v>
      </c>
      <c r="ML2" s="167" t="s">
        <v>3199</v>
      </c>
      <c r="MM2" s="167" t="s">
        <v>3200</v>
      </c>
      <c r="MN2" s="167" t="s">
        <v>3201</v>
      </c>
      <c r="MO2" s="167" t="s">
        <v>3202</v>
      </c>
      <c r="MP2" s="167" t="s">
        <v>3203</v>
      </c>
      <c r="MQ2" s="167" t="s">
        <v>3204</v>
      </c>
      <c r="MR2" s="167" t="s">
        <v>3205</v>
      </c>
      <c r="MS2" s="167" t="s">
        <v>3206</v>
      </c>
      <c r="MT2" s="167" t="s">
        <v>3207</v>
      </c>
      <c r="MU2" s="167" t="s">
        <v>3208</v>
      </c>
      <c r="MV2" s="167" t="s">
        <v>3209</v>
      </c>
      <c r="MW2" s="167" t="s">
        <v>3210</v>
      </c>
      <c r="MX2" s="167" t="s">
        <v>3211</v>
      </c>
      <c r="MY2" s="167" t="s">
        <v>3212</v>
      </c>
      <c r="MZ2" s="167" t="s">
        <v>3213</v>
      </c>
      <c r="NA2" s="167" t="s">
        <v>3214</v>
      </c>
      <c r="NB2" s="167" t="s">
        <v>3215</v>
      </c>
      <c r="NC2" s="167" t="s">
        <v>3216</v>
      </c>
      <c r="ND2" s="167" t="s">
        <v>3217</v>
      </c>
      <c r="NE2" s="167" t="s">
        <v>3218</v>
      </c>
      <c r="NF2" s="167" t="s">
        <v>3219</v>
      </c>
      <c r="NG2" s="167" t="s">
        <v>3220</v>
      </c>
      <c r="NH2" s="167" t="s">
        <v>3221</v>
      </c>
      <c r="NI2" s="167" t="s">
        <v>3222</v>
      </c>
      <c r="NJ2" s="167" t="s">
        <v>3223</v>
      </c>
      <c r="NK2" s="167" t="s">
        <v>3224</v>
      </c>
      <c r="NL2" s="167" t="s">
        <v>3225</v>
      </c>
      <c r="NM2" s="167" t="s">
        <v>3226</v>
      </c>
      <c r="NN2" s="167" t="s">
        <v>3227</v>
      </c>
      <c r="NO2" s="167" t="s">
        <v>3228</v>
      </c>
      <c r="NP2" s="167" t="s">
        <v>3229</v>
      </c>
      <c r="NQ2" s="167" t="s">
        <v>8</v>
      </c>
      <c r="NR2" s="167" t="s">
        <v>66</v>
      </c>
      <c r="NS2" s="167" t="s">
        <v>67</v>
      </c>
      <c r="NT2" s="167" t="s">
        <v>68</v>
      </c>
      <c r="NU2" s="167" t="s">
        <v>69</v>
      </c>
      <c r="NV2" s="167" t="s">
        <v>70</v>
      </c>
      <c r="NW2" s="167" t="s">
        <v>71</v>
      </c>
      <c r="NX2" s="167" t="s">
        <v>72</v>
      </c>
      <c r="NY2" s="167" t="s">
        <v>2888</v>
      </c>
      <c r="NZ2" s="167" t="s">
        <v>2889</v>
      </c>
      <c r="OA2" s="167" t="s">
        <v>73</v>
      </c>
      <c r="OB2" s="167" t="s">
        <v>74</v>
      </c>
      <c r="OC2" s="167" t="s">
        <v>2890</v>
      </c>
      <c r="OD2" s="167" t="s">
        <v>2891</v>
      </c>
      <c r="OE2" s="167" t="s">
        <v>75</v>
      </c>
      <c r="OF2" s="167" t="s">
        <v>2658</v>
      </c>
      <c r="OG2" s="167" t="s">
        <v>2892</v>
      </c>
      <c r="OH2" s="167" t="s">
        <v>62</v>
      </c>
      <c r="OI2" s="167" t="s">
        <v>63</v>
      </c>
      <c r="OJ2" s="167" t="s">
        <v>64</v>
      </c>
      <c r="OK2" s="167" t="s">
        <v>65</v>
      </c>
    </row>
    <row r="3" spans="1:401" x14ac:dyDescent="0.2">
      <c r="A3" s="170" t="str">
        <f>Liste[[#This Row],[Siren]]</f>
        <v>498926625</v>
      </c>
      <c r="B3" s="198" t="str">
        <f>Liste[[#This Row],[Dénomination]]&amp;" - comptes "&amp;YEAR(Liste[[#This Row],[Date de cloture de l''exercice]])</f>
        <v>ISEKI France Holding S.A.S - comptes 2017</v>
      </c>
      <c r="C3" s="21"/>
      <c r="D3" s="21"/>
      <c r="E3" s="21"/>
      <c r="F3" s="168">
        <v>5059000</v>
      </c>
      <c r="G3" s="168">
        <v>8996000</v>
      </c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168">
        <v>6478000</v>
      </c>
      <c r="BE3" s="168">
        <v>4262000</v>
      </c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168">
        <v>3253000</v>
      </c>
      <c r="BY3" s="168">
        <v>11541000</v>
      </c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168">
        <v>1134000</v>
      </c>
      <c r="EM3" s="168">
        <v>947000</v>
      </c>
      <c r="EN3" s="21"/>
      <c r="EO3" s="21"/>
      <c r="EP3" s="168">
        <v>36149000</v>
      </c>
      <c r="EQ3" s="168">
        <v>41308000</v>
      </c>
      <c r="ER3" s="21"/>
      <c r="ES3" s="21"/>
      <c r="ET3" s="168">
        <v>37283000</v>
      </c>
      <c r="EU3" s="168">
        <v>44255000</v>
      </c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168">
        <v>967</v>
      </c>
      <c r="GN3" s="168">
        <v>576</v>
      </c>
      <c r="GO3" s="168">
        <v>1441</v>
      </c>
      <c r="GP3" s="168">
        <v>1115</v>
      </c>
      <c r="GQ3" s="21"/>
      <c r="GR3" s="21"/>
      <c r="GS3" s="168">
        <v>967</v>
      </c>
      <c r="GT3" s="168">
        <v>576</v>
      </c>
      <c r="GU3" s="21"/>
      <c r="GV3" s="21"/>
      <c r="GW3" s="21"/>
      <c r="GX3" s="21"/>
      <c r="GY3" s="21"/>
      <c r="GZ3" s="21"/>
      <c r="HA3" s="21"/>
      <c r="HB3" s="21"/>
      <c r="HC3" s="168">
        <v>-6110</v>
      </c>
      <c r="HD3" s="168">
        <v>-5748</v>
      </c>
      <c r="HE3" s="168">
        <v>-54</v>
      </c>
      <c r="HF3" s="168">
        <v>-197</v>
      </c>
      <c r="HG3" s="21"/>
      <c r="HH3" s="21"/>
      <c r="HI3" s="168">
        <v>2728</v>
      </c>
      <c r="HJ3" s="168">
        <v>3331</v>
      </c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168">
        <v>1267</v>
      </c>
      <c r="IX3" s="168">
        <v>2068</v>
      </c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168">
        <v>62862</v>
      </c>
      <c r="JX3" s="168">
        <v>56685</v>
      </c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168">
        <v>2892000</v>
      </c>
      <c r="KR3" s="168">
        <v>3754000</v>
      </c>
      <c r="KS3" s="21"/>
      <c r="KT3" s="21"/>
      <c r="KU3" s="21"/>
      <c r="KV3" s="21"/>
      <c r="KW3" s="21"/>
      <c r="KX3" s="21"/>
      <c r="KY3" s="21"/>
      <c r="KZ3" s="21"/>
      <c r="LA3" s="168">
        <v>1500000</v>
      </c>
      <c r="LB3" s="168">
        <v>1500000</v>
      </c>
      <c r="LC3" s="21"/>
      <c r="LD3" s="21"/>
      <c r="LE3" s="21"/>
      <c r="LF3" s="21"/>
      <c r="LG3" s="21"/>
      <c r="LH3" s="21"/>
      <c r="LI3" s="21"/>
      <c r="LJ3" s="21"/>
      <c r="LK3" s="168">
        <v>10262000</v>
      </c>
      <c r="LL3" s="168">
        <v>21349000</v>
      </c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168">
        <v>7528000</v>
      </c>
      <c r="MD3" s="168">
        <v>409000</v>
      </c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168">
        <v>967000</v>
      </c>
      <c r="ND3" s="168">
        <v>576000</v>
      </c>
      <c r="NE3" s="21"/>
      <c r="NF3" s="21"/>
      <c r="NG3" s="168">
        <v>15004000</v>
      </c>
      <c r="NH3" s="168">
        <v>17337000</v>
      </c>
      <c r="NI3" s="21"/>
      <c r="NJ3" s="21"/>
      <c r="NK3" s="21"/>
      <c r="NL3" s="21"/>
      <c r="NM3" s="168">
        <v>20682000</v>
      </c>
      <c r="NN3" s="168">
        <v>25512000</v>
      </c>
      <c r="NO3" s="168">
        <v>37283000</v>
      </c>
      <c r="NP3" s="168">
        <v>44255000</v>
      </c>
      <c r="NQ3" s="168" t="s">
        <v>836</v>
      </c>
      <c r="NR3" s="168" t="s">
        <v>769</v>
      </c>
      <c r="NS3" s="168" t="s">
        <v>770</v>
      </c>
      <c r="NT3" s="168" t="s">
        <v>771</v>
      </c>
      <c r="NU3" s="168">
        <v>7501</v>
      </c>
      <c r="NV3" s="168" t="s">
        <v>2104</v>
      </c>
      <c r="NW3" s="168" t="s">
        <v>28</v>
      </c>
      <c r="NX3" s="168" t="s">
        <v>25</v>
      </c>
      <c r="NY3" s="169">
        <v>43008</v>
      </c>
      <c r="NZ3" s="169">
        <v>42643</v>
      </c>
      <c r="OA3" s="169">
        <v>43084</v>
      </c>
      <c r="OB3" s="168" t="s">
        <v>1253</v>
      </c>
      <c r="OC3" s="168">
        <v>12</v>
      </c>
      <c r="OD3" s="168" t="s">
        <v>2105</v>
      </c>
      <c r="OE3" s="168" t="s">
        <v>2400</v>
      </c>
      <c r="OF3" s="168" t="s">
        <v>2401</v>
      </c>
      <c r="OG3" s="168" t="s">
        <v>1936</v>
      </c>
      <c r="OH3" s="168" t="s">
        <v>765</v>
      </c>
      <c r="OI3" s="168" t="s">
        <v>766</v>
      </c>
      <c r="OJ3" s="168" t="s">
        <v>3240</v>
      </c>
      <c r="OK3" s="168" t="s">
        <v>767</v>
      </c>
    </row>
    <row r="4" spans="1:401" x14ac:dyDescent="0.2">
      <c r="A4" s="170" t="str">
        <f>Liste[[#This Row],[Siren]]</f>
        <v>432267805</v>
      </c>
      <c r="B4" s="198" t="str">
        <f>Liste[[#This Row],[Dénomination]]&amp;" - comptes "&amp;YEAR(Liste[[#This Row],[Date de cloture de l''exercice]])</f>
        <v>BELCHIM CROP PROTECTION - comptes 2017</v>
      </c>
      <c r="C4" s="21"/>
      <c r="D4" s="21"/>
      <c r="E4" s="21"/>
      <c r="F4" s="168">
        <v>286</v>
      </c>
      <c r="G4" s="168">
        <v>1769</v>
      </c>
      <c r="H4" s="21"/>
      <c r="I4" s="21"/>
      <c r="J4" s="168">
        <v>764</v>
      </c>
      <c r="K4" s="168">
        <v>942</v>
      </c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168">
        <v>32461</v>
      </c>
      <c r="BY4" s="168">
        <v>19602</v>
      </c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168">
        <v>73</v>
      </c>
      <c r="CZ4" s="168">
        <v>26</v>
      </c>
      <c r="DA4" s="21"/>
      <c r="DB4" s="21"/>
      <c r="DC4" s="21"/>
      <c r="DD4" s="21"/>
      <c r="DE4" s="21"/>
      <c r="DF4" s="21"/>
      <c r="DG4" s="168">
        <v>1888</v>
      </c>
      <c r="DH4" s="168">
        <v>1930</v>
      </c>
      <c r="DI4" s="21"/>
      <c r="DJ4" s="21"/>
      <c r="DK4" s="168">
        <v>132734</v>
      </c>
      <c r="DL4" s="168">
        <v>129245</v>
      </c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168">
        <v>90617</v>
      </c>
      <c r="EM4" s="168">
        <v>76407</v>
      </c>
      <c r="EN4" s="21"/>
      <c r="EO4" s="21"/>
      <c r="EP4" s="168">
        <v>444212</v>
      </c>
      <c r="EQ4" s="168">
        <v>383095</v>
      </c>
      <c r="ER4" s="21"/>
      <c r="ES4" s="21"/>
      <c r="ET4" s="168">
        <v>534902</v>
      </c>
      <c r="EU4" s="168">
        <v>459528</v>
      </c>
      <c r="EV4" s="168">
        <v>-3</v>
      </c>
      <c r="EW4" s="21"/>
      <c r="EX4" s="21"/>
      <c r="EY4" s="21"/>
      <c r="EZ4" s="21"/>
      <c r="FA4" s="21"/>
      <c r="FB4" s="21"/>
      <c r="FC4" s="21"/>
      <c r="FD4" s="21"/>
      <c r="FE4" s="21"/>
      <c r="FF4" s="168">
        <v>480</v>
      </c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168">
        <v>9886</v>
      </c>
      <c r="FX4" s="168">
        <v>11053</v>
      </c>
      <c r="FY4" s="168">
        <v>318</v>
      </c>
      <c r="FZ4" s="168">
        <v>128</v>
      </c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168">
        <v>19690</v>
      </c>
      <c r="GN4" s="168">
        <v>19342</v>
      </c>
      <c r="GO4" s="168">
        <v>19690</v>
      </c>
      <c r="GP4" s="168">
        <v>19342</v>
      </c>
      <c r="GQ4" s="21"/>
      <c r="GR4" s="21"/>
      <c r="GS4" s="168">
        <v>19371</v>
      </c>
      <c r="GT4" s="168">
        <v>19214</v>
      </c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168">
        <v>1202</v>
      </c>
      <c r="HF4" s="168">
        <v>860</v>
      </c>
      <c r="HG4" s="21"/>
      <c r="HH4" s="21"/>
      <c r="HI4" s="168">
        <v>1436</v>
      </c>
      <c r="HJ4" s="168">
        <v>1612</v>
      </c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168">
        <v>29576</v>
      </c>
      <c r="IV4" s="168">
        <v>30395</v>
      </c>
      <c r="IW4" s="168">
        <v>37114</v>
      </c>
      <c r="IX4" s="168">
        <v>36624</v>
      </c>
      <c r="IY4" s="168">
        <v>-7538</v>
      </c>
      <c r="IZ4" s="168">
        <v>-6229</v>
      </c>
      <c r="JA4" s="21"/>
      <c r="JB4" s="21"/>
      <c r="JC4" s="21"/>
      <c r="JD4" s="21"/>
      <c r="JE4" s="21"/>
      <c r="JF4" s="21"/>
      <c r="JG4" s="21"/>
      <c r="JH4" s="21"/>
      <c r="JI4" s="168">
        <v>814652</v>
      </c>
      <c r="JJ4" s="168">
        <v>741309</v>
      </c>
      <c r="JK4" s="168">
        <v>7588</v>
      </c>
      <c r="JL4" s="168">
        <v>6395</v>
      </c>
      <c r="JM4" s="168">
        <v>971202</v>
      </c>
      <c r="JN4" s="168">
        <v>885032</v>
      </c>
      <c r="JO4" s="168">
        <v>50</v>
      </c>
      <c r="JP4" s="168">
        <v>166</v>
      </c>
      <c r="JQ4" s="21"/>
      <c r="JR4" s="21"/>
      <c r="JS4" s="21"/>
      <c r="JT4" s="21"/>
      <c r="JU4" s="21"/>
      <c r="JV4" s="21"/>
      <c r="JW4" s="168">
        <v>502534</v>
      </c>
      <c r="JX4" s="168">
        <v>459150</v>
      </c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168">
        <v>4000</v>
      </c>
      <c r="LB4" s="168">
        <v>4000</v>
      </c>
      <c r="LC4" s="21"/>
      <c r="LD4" s="21"/>
      <c r="LE4" s="21"/>
      <c r="LF4" s="21"/>
      <c r="LG4" s="21"/>
      <c r="LH4" s="21"/>
      <c r="LI4" s="168">
        <v>21348</v>
      </c>
      <c r="LJ4" s="168">
        <v>28449</v>
      </c>
      <c r="LK4" s="168">
        <v>139814</v>
      </c>
      <c r="LL4" s="168">
        <v>158771</v>
      </c>
      <c r="LM4" s="21"/>
      <c r="LN4" s="21"/>
      <c r="LO4" s="21"/>
      <c r="LP4" s="21"/>
      <c r="LQ4" s="21"/>
      <c r="LR4" s="21"/>
      <c r="LS4" s="21"/>
      <c r="LT4" s="21"/>
      <c r="LU4" s="168">
        <v>-128</v>
      </c>
      <c r="LV4" s="168">
        <v>897</v>
      </c>
      <c r="LW4" s="21"/>
      <c r="LX4" s="21"/>
      <c r="LY4" s="21"/>
      <c r="LZ4" s="21"/>
      <c r="MA4" s="168">
        <v>190639</v>
      </c>
      <c r="MB4" s="168">
        <v>148330</v>
      </c>
      <c r="MC4" s="21"/>
      <c r="MD4" s="21"/>
      <c r="ME4" s="21"/>
      <c r="MF4" s="21"/>
      <c r="MG4" s="168">
        <v>876</v>
      </c>
      <c r="MH4" s="168">
        <v>1047</v>
      </c>
      <c r="MI4" s="21"/>
      <c r="MJ4" s="21"/>
      <c r="MK4" s="21"/>
      <c r="ML4" s="21"/>
      <c r="MM4" s="21"/>
      <c r="MN4" s="21"/>
      <c r="MO4" s="168">
        <v>293</v>
      </c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168">
        <v>126047</v>
      </c>
      <c r="NH4" s="168">
        <v>111701</v>
      </c>
      <c r="NI4" s="21"/>
      <c r="NJ4" s="21"/>
      <c r="NK4" s="21"/>
      <c r="NL4" s="21"/>
      <c r="NM4" s="168">
        <v>405731</v>
      </c>
      <c r="NN4" s="168">
        <v>346128</v>
      </c>
      <c r="NO4" s="168">
        <v>534902</v>
      </c>
      <c r="NP4" s="168">
        <v>459528</v>
      </c>
      <c r="NQ4" s="168" t="s">
        <v>3386</v>
      </c>
      <c r="NR4" s="168" t="s">
        <v>1251</v>
      </c>
      <c r="NS4" s="168" t="s">
        <v>770</v>
      </c>
      <c r="NT4" s="168" t="s">
        <v>771</v>
      </c>
      <c r="NU4" s="168">
        <v>5902</v>
      </c>
      <c r="NV4" s="168" t="s">
        <v>2104</v>
      </c>
      <c r="NW4" s="168" t="s">
        <v>28</v>
      </c>
      <c r="NX4" s="168" t="s">
        <v>25</v>
      </c>
      <c r="NY4" s="169">
        <v>43008</v>
      </c>
      <c r="NZ4" s="169">
        <v>42643</v>
      </c>
      <c r="OA4" s="169">
        <v>43133</v>
      </c>
      <c r="OB4" s="168" t="s">
        <v>3387</v>
      </c>
      <c r="OC4" s="168">
        <v>12</v>
      </c>
      <c r="OD4" s="168" t="s">
        <v>2105</v>
      </c>
      <c r="OE4" s="168" t="s">
        <v>3388</v>
      </c>
      <c r="OF4" s="168" t="s">
        <v>3389</v>
      </c>
      <c r="OG4" s="168" t="s">
        <v>3390</v>
      </c>
      <c r="OH4" s="168" t="s">
        <v>940</v>
      </c>
      <c r="OI4" s="168" t="s">
        <v>766</v>
      </c>
      <c r="OJ4" s="168" t="s">
        <v>3240</v>
      </c>
      <c r="OK4" s="168" t="s">
        <v>1249</v>
      </c>
    </row>
    <row r="5" spans="1:401" x14ac:dyDescent="0.2">
      <c r="A5" s="170" t="str">
        <f>Liste[[#This Row],[Siren]]</f>
        <v>802927293</v>
      </c>
      <c r="B5" s="198" t="str">
        <f>Liste[[#This Row],[Dénomination]]&amp;" - comptes "&amp;YEAR(Liste[[#This Row],[Date de cloture de l''exercice]])</f>
        <v>GEEK INVEST - comptes 2017</v>
      </c>
      <c r="C5" s="21"/>
      <c r="D5" s="21"/>
      <c r="E5" s="21"/>
      <c r="F5" s="168">
        <v>1044701</v>
      </c>
      <c r="G5" s="168">
        <v>1081360</v>
      </c>
      <c r="H5" s="168">
        <v>1044701</v>
      </c>
      <c r="I5" s="168">
        <v>1133308</v>
      </c>
      <c r="J5" s="168">
        <v>678899</v>
      </c>
      <c r="K5" s="168">
        <v>415106</v>
      </c>
      <c r="L5" s="168">
        <v>1812207</v>
      </c>
      <c r="M5" s="21"/>
      <c r="N5" s="168">
        <v>110249</v>
      </c>
      <c r="O5" s="168">
        <v>112490</v>
      </c>
      <c r="P5" s="168">
        <v>110249</v>
      </c>
      <c r="Q5" s="21"/>
      <c r="R5" s="21"/>
      <c r="S5" s="21"/>
      <c r="T5" s="21"/>
      <c r="U5" s="21"/>
      <c r="V5" s="168">
        <v>16</v>
      </c>
      <c r="W5" s="168">
        <v>1541</v>
      </c>
      <c r="X5" s="168">
        <v>16</v>
      </c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168">
        <v>19008</v>
      </c>
      <c r="AM5" s="168">
        <v>16570</v>
      </c>
      <c r="AN5" s="168">
        <v>19008</v>
      </c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168">
        <v>451328</v>
      </c>
      <c r="BA5" s="168">
        <v>265639</v>
      </c>
      <c r="BB5" s="168">
        <v>451328</v>
      </c>
      <c r="BC5" s="168">
        <v>164342</v>
      </c>
      <c r="BD5" s="168">
        <v>8698637</v>
      </c>
      <c r="BE5" s="168">
        <v>8830065</v>
      </c>
      <c r="BF5" s="168">
        <v>8862979</v>
      </c>
      <c r="BG5" s="168">
        <v>44076</v>
      </c>
      <c r="BH5" s="168">
        <v>56777</v>
      </c>
      <c r="BI5" s="168">
        <v>33393</v>
      </c>
      <c r="BJ5" s="168">
        <v>100853</v>
      </c>
      <c r="BK5" s="168">
        <v>35865</v>
      </c>
      <c r="BL5" s="168">
        <v>51433</v>
      </c>
      <c r="BM5" s="168">
        <v>53851</v>
      </c>
      <c r="BN5" s="168">
        <v>87298</v>
      </c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168">
        <v>395616</v>
      </c>
      <c r="CE5" s="168">
        <v>1503925</v>
      </c>
      <c r="CF5" s="168">
        <v>1693878</v>
      </c>
      <c r="CG5" s="168">
        <v>1899541</v>
      </c>
      <c r="CH5" s="21"/>
      <c r="CI5" s="21"/>
      <c r="CJ5" s="21"/>
      <c r="CK5" s="21"/>
      <c r="CL5" s="21"/>
      <c r="CM5" s="21"/>
      <c r="CN5" s="21"/>
      <c r="CO5" s="21"/>
      <c r="CP5" s="168">
        <v>121035</v>
      </c>
      <c r="CQ5" s="168">
        <v>3601535</v>
      </c>
      <c r="CR5" s="168">
        <v>3601535</v>
      </c>
      <c r="CS5" s="168">
        <v>3722570</v>
      </c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168">
        <v>232172</v>
      </c>
      <c r="DG5" s="168">
        <v>145151</v>
      </c>
      <c r="DH5" s="168">
        <v>138267</v>
      </c>
      <c r="DI5" s="168">
        <v>377323</v>
      </c>
      <c r="DJ5" s="168">
        <v>795393</v>
      </c>
      <c r="DK5" s="168">
        <v>1308262</v>
      </c>
      <c r="DL5" s="168">
        <v>1224609</v>
      </c>
      <c r="DM5" s="168">
        <v>2103655</v>
      </c>
      <c r="DN5" s="21"/>
      <c r="DO5" s="21"/>
      <c r="DP5" s="21"/>
      <c r="DQ5" s="21"/>
      <c r="DR5" s="21"/>
      <c r="DS5" s="21"/>
      <c r="DT5" s="21"/>
      <c r="DU5" s="21"/>
      <c r="DV5" s="21"/>
      <c r="DW5" s="168">
        <v>61434</v>
      </c>
      <c r="DX5" s="168">
        <v>83208</v>
      </c>
      <c r="DY5" s="168">
        <v>61434</v>
      </c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168">
        <v>1962072</v>
      </c>
      <c r="EL5" s="168">
        <v>8716310</v>
      </c>
      <c r="EM5" s="168">
        <v>8616691</v>
      </c>
      <c r="EN5" s="168">
        <v>10678382</v>
      </c>
      <c r="EO5" s="168">
        <v>959735</v>
      </c>
      <c r="EP5" s="168">
        <v>15835972</v>
      </c>
      <c r="EQ5" s="168">
        <v>15000720</v>
      </c>
      <c r="ER5" s="168">
        <v>16795707</v>
      </c>
      <c r="ES5" s="168">
        <v>2921807</v>
      </c>
      <c r="ET5" s="168">
        <v>24552282</v>
      </c>
      <c r="EU5" s="168">
        <v>23617411</v>
      </c>
      <c r="EV5" s="168">
        <v>27474089</v>
      </c>
      <c r="EW5" s="21"/>
      <c r="EX5" s="21"/>
      <c r="EY5" s="21"/>
      <c r="EZ5" s="21"/>
      <c r="FA5" s="21"/>
      <c r="FB5" s="168">
        <v>173885</v>
      </c>
      <c r="FC5" s="168">
        <v>150416</v>
      </c>
      <c r="FD5" s="168">
        <v>173885</v>
      </c>
      <c r="FE5" s="21"/>
      <c r="FF5" s="21"/>
      <c r="FG5" s="21"/>
      <c r="FH5" s="21"/>
      <c r="FI5" s="168">
        <v>-7280</v>
      </c>
      <c r="FJ5" s="168">
        <v>60551</v>
      </c>
      <c r="FK5" s="21"/>
      <c r="FL5" s="21"/>
      <c r="FM5" s="168">
        <v>16716</v>
      </c>
      <c r="FN5" s="168">
        <v>5177</v>
      </c>
      <c r="FO5" s="168">
        <v>15302</v>
      </c>
      <c r="FP5" s="168">
        <v>17228</v>
      </c>
      <c r="FQ5" s="168">
        <v>189953</v>
      </c>
      <c r="FR5" s="168">
        <v>189953</v>
      </c>
      <c r="FS5" s="21"/>
      <c r="FT5" s="21"/>
      <c r="FU5" s="168">
        <v>-154093</v>
      </c>
      <c r="FV5" s="168">
        <v>238063</v>
      </c>
      <c r="FW5" s="168">
        <v>278173</v>
      </c>
      <c r="FX5" s="168">
        <v>366649</v>
      </c>
      <c r="FY5" s="168">
        <v>529359</v>
      </c>
      <c r="FZ5" s="168">
        <v>803363</v>
      </c>
      <c r="GA5" s="21"/>
      <c r="GB5" s="21"/>
      <c r="GC5" s="168">
        <v>13776</v>
      </c>
      <c r="GD5" s="168">
        <v>59615</v>
      </c>
      <c r="GE5" s="168">
        <v>10962</v>
      </c>
      <c r="GF5" s="168">
        <v>23341</v>
      </c>
      <c r="GG5" s="21"/>
      <c r="GH5" s="21"/>
      <c r="GI5" s="21"/>
      <c r="GJ5" s="21"/>
      <c r="GK5" s="21"/>
      <c r="GL5" s="21"/>
      <c r="GM5" s="168">
        <v>1297009</v>
      </c>
      <c r="GN5" s="168">
        <v>2125263</v>
      </c>
      <c r="GO5" s="168">
        <v>1450993</v>
      </c>
      <c r="GP5" s="168">
        <v>2294235</v>
      </c>
      <c r="GQ5" s="168">
        <v>35969</v>
      </c>
      <c r="GR5" s="168">
        <v>20981</v>
      </c>
      <c r="GS5" s="168">
        <v>767650</v>
      </c>
      <c r="GT5" s="168">
        <v>1321900</v>
      </c>
      <c r="GU5" s="168">
        <v>32018</v>
      </c>
      <c r="GV5" s="168">
        <v>22405</v>
      </c>
      <c r="GW5" s="168">
        <v>24738</v>
      </c>
      <c r="GX5" s="168">
        <v>82956</v>
      </c>
      <c r="GY5" s="168">
        <v>5660672</v>
      </c>
      <c r="GZ5" s="168">
        <v>5517451</v>
      </c>
      <c r="HA5" s="168">
        <v>8272979</v>
      </c>
      <c r="HB5" s="168">
        <v>8397961</v>
      </c>
      <c r="HC5" s="168">
        <v>4294372</v>
      </c>
      <c r="HD5" s="168">
        <v>5001947</v>
      </c>
      <c r="HE5" s="168">
        <v>16818</v>
      </c>
      <c r="HF5" s="168">
        <v>72639</v>
      </c>
      <c r="HG5" s="168">
        <v>10481</v>
      </c>
      <c r="HH5" s="168">
        <v>36818</v>
      </c>
      <c r="HI5" s="168">
        <v>82715</v>
      </c>
      <c r="HJ5" s="168">
        <v>87331</v>
      </c>
      <c r="HK5" s="21"/>
      <c r="HL5" s="21"/>
      <c r="HM5" s="21"/>
      <c r="HN5" s="21"/>
      <c r="HO5" s="168">
        <v>4390433</v>
      </c>
      <c r="HP5" s="168">
        <v>4338596</v>
      </c>
      <c r="HQ5" s="21"/>
      <c r="HR5" s="21"/>
      <c r="HS5" s="21"/>
      <c r="HT5" s="21"/>
      <c r="HU5" s="168">
        <v>236607</v>
      </c>
      <c r="HV5" s="168">
        <v>208777</v>
      </c>
      <c r="HW5" s="21"/>
      <c r="HX5" s="21"/>
      <c r="HY5" s="21"/>
      <c r="HZ5" s="168">
        <v>71416</v>
      </c>
      <c r="IA5" s="168">
        <v>842711</v>
      </c>
      <c r="IB5" s="168">
        <v>490309</v>
      </c>
      <c r="IC5" s="21"/>
      <c r="ID5" s="21"/>
      <c r="IE5" s="168">
        <v>614407</v>
      </c>
      <c r="IF5" s="168">
        <v>639203</v>
      </c>
      <c r="IG5" s="168">
        <v>98694</v>
      </c>
      <c r="IH5" s="168">
        <v>85694</v>
      </c>
      <c r="II5" s="21"/>
      <c r="IJ5" s="21"/>
      <c r="IK5" s="168">
        <v>295899</v>
      </c>
      <c r="IL5" s="168">
        <v>41918</v>
      </c>
      <c r="IM5" s="21"/>
      <c r="IN5" s="21"/>
      <c r="IO5" s="21"/>
      <c r="IP5" s="21"/>
      <c r="IQ5" s="168">
        <v>12535</v>
      </c>
      <c r="IR5" s="168">
        <v>11010</v>
      </c>
      <c r="IS5" s="21"/>
      <c r="IT5" s="21"/>
      <c r="IU5" s="168">
        <v>1582353</v>
      </c>
      <c r="IV5" s="168">
        <v>2838396</v>
      </c>
      <c r="IW5" s="168">
        <v>1658031</v>
      </c>
      <c r="IX5" s="168">
        <v>2876262</v>
      </c>
      <c r="IY5" s="168">
        <v>-75678</v>
      </c>
      <c r="IZ5" s="168">
        <v>-37866</v>
      </c>
      <c r="JA5" s="168">
        <v>554812</v>
      </c>
      <c r="JB5" s="168">
        <v>922504</v>
      </c>
      <c r="JC5" s="21"/>
      <c r="JD5" s="21"/>
      <c r="JE5" s="168">
        <v>10535875</v>
      </c>
      <c r="JF5" s="168">
        <v>9788043</v>
      </c>
      <c r="JG5" s="21"/>
      <c r="JH5" s="21"/>
      <c r="JI5" s="168">
        <v>34435396</v>
      </c>
      <c r="JJ5" s="168">
        <v>35008476</v>
      </c>
      <c r="JK5" s="168">
        <v>98694</v>
      </c>
      <c r="JL5" s="168">
        <v>85694</v>
      </c>
      <c r="JM5" s="168">
        <v>36093427</v>
      </c>
      <c r="JN5" s="168">
        <v>37884738</v>
      </c>
      <c r="JO5" s="168">
        <v>23016</v>
      </c>
      <c r="JP5" s="168">
        <v>47828</v>
      </c>
      <c r="JQ5" s="21"/>
      <c r="JR5" s="21"/>
      <c r="JS5" s="168">
        <v>-429478</v>
      </c>
      <c r="JT5" s="168">
        <v>482134</v>
      </c>
      <c r="JU5" s="21"/>
      <c r="JV5" s="21"/>
      <c r="JW5" s="168">
        <v>35160001</v>
      </c>
      <c r="JX5" s="168">
        <v>36832985</v>
      </c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168">
        <v>28657</v>
      </c>
      <c r="KR5" s="168">
        <v>22761</v>
      </c>
      <c r="KS5" s="21"/>
      <c r="KT5" s="21"/>
      <c r="KU5" s="21"/>
      <c r="KV5" s="21"/>
      <c r="KW5" s="21"/>
      <c r="KX5" s="21"/>
      <c r="KY5" s="21"/>
      <c r="KZ5" s="21"/>
      <c r="LA5" s="168">
        <v>862730</v>
      </c>
      <c r="LB5" s="168">
        <v>862730</v>
      </c>
      <c r="LC5" s="168">
        <v>1171642</v>
      </c>
      <c r="LD5" s="168">
        <v>883149</v>
      </c>
      <c r="LE5" s="168">
        <v>529359</v>
      </c>
      <c r="LF5" s="168">
        <v>803363</v>
      </c>
      <c r="LG5" s="21"/>
      <c r="LH5" s="21"/>
      <c r="LI5" s="168">
        <v>4092838</v>
      </c>
      <c r="LJ5" s="168">
        <v>4122867</v>
      </c>
      <c r="LK5" s="168">
        <v>2383366</v>
      </c>
      <c r="LL5" s="168">
        <v>2291539</v>
      </c>
      <c r="LM5" s="168">
        <v>1237766</v>
      </c>
      <c r="LN5" s="168">
        <v>1364059</v>
      </c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168">
        <v>2482603</v>
      </c>
      <c r="MB5" s="168">
        <v>3005510</v>
      </c>
      <c r="MC5" s="168">
        <v>967178</v>
      </c>
      <c r="MD5" s="168">
        <v>617200</v>
      </c>
      <c r="ME5" s="21"/>
      <c r="MF5" s="21"/>
      <c r="MG5" s="21"/>
      <c r="MH5" s="21"/>
      <c r="MI5" s="168">
        <v>811412</v>
      </c>
      <c r="MJ5" s="168">
        <v>811412</v>
      </c>
      <c r="MK5" s="21"/>
      <c r="ML5" s="21"/>
      <c r="MM5" s="168">
        <v>4707079</v>
      </c>
      <c r="MN5" s="168">
        <v>4599533</v>
      </c>
      <c r="MO5" s="168">
        <v>2109599</v>
      </c>
      <c r="MP5" s="168">
        <v>1673553</v>
      </c>
      <c r="MQ5" s="168">
        <v>228009</v>
      </c>
      <c r="MR5" s="168">
        <v>236480</v>
      </c>
      <c r="MS5" s="21"/>
      <c r="MT5" s="21"/>
      <c r="MU5" s="21"/>
      <c r="MV5" s="21"/>
      <c r="MW5" s="21"/>
      <c r="MX5" s="21"/>
      <c r="MY5" s="21"/>
      <c r="MZ5" s="21"/>
      <c r="NA5" s="21"/>
      <c r="NB5" s="21"/>
      <c r="NC5" s="168">
        <v>767650</v>
      </c>
      <c r="ND5" s="168">
        <v>1321900</v>
      </c>
      <c r="NE5" s="21"/>
      <c r="NF5" s="21"/>
      <c r="NG5" s="168">
        <v>4614186</v>
      </c>
      <c r="NH5" s="168">
        <v>3997397</v>
      </c>
      <c r="NI5" s="21"/>
      <c r="NJ5" s="21"/>
      <c r="NK5" s="168">
        <v>1701001</v>
      </c>
      <c r="NL5" s="168">
        <v>1686512</v>
      </c>
      <c r="NM5" s="168">
        <v>15899487</v>
      </c>
      <c r="NN5" s="168">
        <v>16023469</v>
      </c>
      <c r="NO5" s="168">
        <v>24552282</v>
      </c>
      <c r="NP5" s="168">
        <v>23617411</v>
      </c>
      <c r="NQ5" s="168" t="s">
        <v>1094</v>
      </c>
      <c r="NR5" s="168" t="s">
        <v>802</v>
      </c>
      <c r="NS5" s="168" t="s">
        <v>770</v>
      </c>
      <c r="NT5" s="168" t="s">
        <v>771</v>
      </c>
      <c r="NU5" s="168">
        <v>4502</v>
      </c>
      <c r="NV5" s="168" t="s">
        <v>2104</v>
      </c>
      <c r="NW5" s="168" t="s">
        <v>28</v>
      </c>
      <c r="NX5" s="168" t="s">
        <v>25</v>
      </c>
      <c r="NY5" s="169">
        <v>43008</v>
      </c>
      <c r="NZ5" s="169">
        <v>42643</v>
      </c>
      <c r="OA5" s="169">
        <v>43132</v>
      </c>
      <c r="OB5" s="168" t="s">
        <v>1295</v>
      </c>
      <c r="OC5" s="168">
        <v>12</v>
      </c>
      <c r="OD5" s="168" t="s">
        <v>2105</v>
      </c>
      <c r="OE5" s="168" t="s">
        <v>2182</v>
      </c>
      <c r="OF5" s="168" t="s">
        <v>2439</v>
      </c>
      <c r="OG5" s="168" t="s">
        <v>1958</v>
      </c>
      <c r="OH5" s="168" t="s">
        <v>838</v>
      </c>
      <c r="OI5" s="168" t="s">
        <v>766</v>
      </c>
      <c r="OJ5" s="168" t="s">
        <v>3240</v>
      </c>
      <c r="OK5" s="168" t="s">
        <v>801</v>
      </c>
    </row>
    <row r="6" spans="1:401" x14ac:dyDescent="0.2">
      <c r="A6" s="170" t="str">
        <f>Liste[[#This Row],[Siren]]</f>
        <v>811337203</v>
      </c>
      <c r="B6" s="198" t="str">
        <f>Liste[[#This Row],[Dénomination]]&amp;" - comptes "&amp;YEAR(Liste[[#This Row],[Date de cloture de l''exercice]])</f>
        <v>RACE INDUSTRIES - comptes 2017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168">
        <v>8228000</v>
      </c>
      <c r="BE6" s="168">
        <v>3827000</v>
      </c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168">
        <v>4615000</v>
      </c>
      <c r="BY6" s="168">
        <v>13682000</v>
      </c>
      <c r="BZ6" s="21"/>
      <c r="CA6" s="21"/>
      <c r="CB6" s="21"/>
      <c r="CC6" s="21"/>
      <c r="CD6" s="21"/>
      <c r="CE6" s="168">
        <v>20647000</v>
      </c>
      <c r="CF6" s="168">
        <v>21652000</v>
      </c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168">
        <v>25258000</v>
      </c>
      <c r="EM6" s="168">
        <v>24201000</v>
      </c>
      <c r="EN6" s="21"/>
      <c r="EO6" s="21"/>
      <c r="EP6" s="168">
        <v>41941000</v>
      </c>
      <c r="EQ6" s="168">
        <v>42430000</v>
      </c>
      <c r="ER6" s="21"/>
      <c r="ES6" s="21"/>
      <c r="ET6" s="168">
        <v>67199000</v>
      </c>
      <c r="EU6" s="168">
        <v>66631000</v>
      </c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168">
        <v>301000</v>
      </c>
      <c r="FJ6" s="168">
        <v>253000</v>
      </c>
      <c r="FK6" s="21"/>
      <c r="FL6" s="21"/>
      <c r="FM6" s="21"/>
      <c r="FN6" s="21"/>
      <c r="FO6" s="21"/>
      <c r="FP6" s="21"/>
      <c r="FQ6" s="168">
        <v>-1155000</v>
      </c>
      <c r="FR6" s="168">
        <v>-1140000</v>
      </c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168">
        <v>4778000</v>
      </c>
      <c r="GN6" s="168">
        <v>3671000</v>
      </c>
      <c r="GO6" s="168">
        <v>5933000</v>
      </c>
      <c r="GP6" s="168">
        <v>4810000</v>
      </c>
      <c r="GQ6" s="21"/>
      <c r="GR6" s="21"/>
      <c r="GS6" s="168">
        <v>4778000</v>
      </c>
      <c r="GT6" s="168">
        <v>3671000</v>
      </c>
      <c r="GU6" s="168">
        <v>119000</v>
      </c>
      <c r="GV6" s="168">
        <v>74000</v>
      </c>
      <c r="GW6" s="168">
        <v>420000</v>
      </c>
      <c r="GX6" s="168">
        <v>327000</v>
      </c>
      <c r="GY6" s="21"/>
      <c r="GZ6" s="21"/>
      <c r="HA6" s="21"/>
      <c r="HB6" s="21"/>
      <c r="HC6" s="21"/>
      <c r="HD6" s="21"/>
      <c r="HE6" s="168">
        <v>16673000</v>
      </c>
      <c r="HF6" s="168">
        <v>14744000</v>
      </c>
      <c r="HG6" s="21"/>
      <c r="HH6" s="21"/>
      <c r="HI6" s="168">
        <v>173000</v>
      </c>
      <c r="HJ6" s="168">
        <v>219000</v>
      </c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168">
        <v>679000</v>
      </c>
      <c r="IF6" s="168">
        <v>599000</v>
      </c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168">
        <v>8552000</v>
      </c>
      <c r="IV6" s="168">
        <v>6996000</v>
      </c>
      <c r="IW6" s="168">
        <v>9144000</v>
      </c>
      <c r="IX6" s="168">
        <v>7338000</v>
      </c>
      <c r="IY6" s="168">
        <v>-592000</v>
      </c>
      <c r="IZ6" s="168">
        <v>-342000</v>
      </c>
      <c r="JA6" s="21"/>
      <c r="JB6" s="21"/>
      <c r="JC6" s="21"/>
      <c r="JD6" s="21"/>
      <c r="JE6" s="21"/>
      <c r="JF6" s="21"/>
      <c r="JG6" s="21"/>
      <c r="JH6" s="21"/>
      <c r="JI6" s="168">
        <v>35337000</v>
      </c>
      <c r="JJ6" s="168">
        <v>31070000</v>
      </c>
      <c r="JK6" s="168">
        <v>595000</v>
      </c>
      <c r="JL6" s="168">
        <v>355000</v>
      </c>
      <c r="JM6" s="168">
        <v>44480000</v>
      </c>
      <c r="JN6" s="168">
        <v>38408000</v>
      </c>
      <c r="JO6" s="168">
        <v>4000</v>
      </c>
      <c r="JP6" s="168">
        <v>13000</v>
      </c>
      <c r="JQ6" s="21"/>
      <c r="JR6" s="21"/>
      <c r="JS6" s="21"/>
      <c r="JT6" s="21"/>
      <c r="JU6" s="21"/>
      <c r="JV6" s="21"/>
      <c r="JW6" s="168">
        <v>44307000</v>
      </c>
      <c r="JX6" s="168">
        <v>38189000</v>
      </c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168">
        <v>25299000</v>
      </c>
      <c r="LB6" s="168">
        <v>24907000</v>
      </c>
      <c r="LC6" s="21"/>
      <c r="LD6" s="21"/>
      <c r="LE6" s="21"/>
      <c r="LF6" s="21"/>
      <c r="LG6" s="21"/>
      <c r="LH6" s="21"/>
      <c r="LI6" s="21"/>
      <c r="LJ6" s="21"/>
      <c r="LK6" s="168">
        <v>3899000</v>
      </c>
      <c r="LL6" s="168">
        <v>5291000</v>
      </c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168">
        <v>7690000</v>
      </c>
      <c r="MD6" s="168">
        <v>7846000</v>
      </c>
      <c r="ME6" s="21"/>
      <c r="MF6" s="21"/>
      <c r="MG6" s="21"/>
      <c r="MH6" s="21"/>
      <c r="MI6" s="168">
        <v>289000</v>
      </c>
      <c r="MJ6" s="168">
        <v>289000</v>
      </c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168">
        <v>4778000</v>
      </c>
      <c r="ND6" s="168">
        <v>3671000</v>
      </c>
      <c r="NE6" s="21"/>
      <c r="NF6" s="21"/>
      <c r="NG6" s="168">
        <v>32088000</v>
      </c>
      <c r="NH6" s="168">
        <v>28828000</v>
      </c>
      <c r="NI6" s="21"/>
      <c r="NJ6" s="21"/>
      <c r="NK6" s="21"/>
      <c r="NL6" s="21"/>
      <c r="NM6" s="168">
        <v>33761000</v>
      </c>
      <c r="NN6" s="168">
        <v>36034000</v>
      </c>
      <c r="NO6" s="168">
        <v>67199000</v>
      </c>
      <c r="NP6" s="168">
        <v>66631000</v>
      </c>
      <c r="NQ6" s="168" t="s">
        <v>3314</v>
      </c>
      <c r="NR6" s="168" t="s">
        <v>797</v>
      </c>
      <c r="NS6" s="168" t="s">
        <v>770</v>
      </c>
      <c r="NT6" s="168" t="s">
        <v>771</v>
      </c>
      <c r="NU6" s="168">
        <v>9201</v>
      </c>
      <c r="NV6" s="168" t="s">
        <v>2104</v>
      </c>
      <c r="NW6" s="168" t="s">
        <v>28</v>
      </c>
      <c r="NX6" s="168" t="s">
        <v>25</v>
      </c>
      <c r="NY6" s="169">
        <v>42978</v>
      </c>
      <c r="NZ6" s="169">
        <v>42613</v>
      </c>
      <c r="OA6" s="169">
        <v>43132</v>
      </c>
      <c r="OB6" s="168" t="s">
        <v>3315</v>
      </c>
      <c r="OC6" s="168">
        <v>12</v>
      </c>
      <c r="OD6" s="168" t="s">
        <v>2105</v>
      </c>
      <c r="OE6" s="168" t="s">
        <v>3316</v>
      </c>
      <c r="OF6" s="168" t="s">
        <v>3317</v>
      </c>
      <c r="OG6" s="168" t="s">
        <v>3318</v>
      </c>
      <c r="OH6" s="168" t="s">
        <v>777</v>
      </c>
      <c r="OI6" s="168" t="s">
        <v>766</v>
      </c>
      <c r="OJ6" s="168" t="s">
        <v>3240</v>
      </c>
      <c r="OK6" s="168" t="s">
        <v>796</v>
      </c>
    </row>
    <row r="7" spans="1:401" x14ac:dyDescent="0.2">
      <c r="A7" s="170" t="str">
        <f>Liste[[#This Row],[Siren]]</f>
        <v>424860807</v>
      </c>
      <c r="B7" s="198" t="str">
        <f>Liste[[#This Row],[Dénomination]]&amp;" - comptes "&amp;YEAR(Liste[[#This Row],[Date de cloture de l''exercice]])</f>
        <v>HOLDISTOUR - comptes 2017</v>
      </c>
      <c r="C7" s="21"/>
      <c r="D7" s="21"/>
      <c r="E7" s="21"/>
      <c r="F7" s="168">
        <v>432903</v>
      </c>
      <c r="G7" s="168">
        <v>142627</v>
      </c>
      <c r="H7" s="168">
        <v>432903</v>
      </c>
      <c r="I7" s="168">
        <v>601988</v>
      </c>
      <c r="J7" s="168">
        <v>387287</v>
      </c>
      <c r="K7" s="168">
        <v>317880</v>
      </c>
      <c r="L7" s="168">
        <v>989275</v>
      </c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168">
        <v>171360</v>
      </c>
      <c r="AA7" s="168">
        <v>296933</v>
      </c>
      <c r="AB7" s="168">
        <v>171360</v>
      </c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168">
        <v>281288</v>
      </c>
      <c r="BA7" s="168">
        <v>270103</v>
      </c>
      <c r="BB7" s="168">
        <v>281288</v>
      </c>
      <c r="BC7" s="168">
        <v>1242439</v>
      </c>
      <c r="BD7" s="168">
        <v>10840386</v>
      </c>
      <c r="BE7" s="168">
        <v>8762062</v>
      </c>
      <c r="BF7" s="168">
        <v>12082825</v>
      </c>
      <c r="BG7" s="168">
        <v>62424</v>
      </c>
      <c r="BH7" s="168">
        <v>26802</v>
      </c>
      <c r="BI7" s="168">
        <v>30442</v>
      </c>
      <c r="BJ7" s="168">
        <v>89226</v>
      </c>
      <c r="BK7" s="168">
        <v>5408573</v>
      </c>
      <c r="BL7" s="168">
        <v>2958935</v>
      </c>
      <c r="BM7" s="168">
        <v>3753935</v>
      </c>
      <c r="BN7" s="168">
        <v>8367508</v>
      </c>
      <c r="BO7" s="21"/>
      <c r="BP7" s="21"/>
      <c r="BQ7" s="21"/>
      <c r="BR7" s="21"/>
      <c r="BS7" s="21"/>
      <c r="BT7" s="21"/>
      <c r="BU7" s="21"/>
      <c r="BV7" s="21"/>
      <c r="BW7" s="21"/>
      <c r="BX7" s="168">
        <v>780596</v>
      </c>
      <c r="BY7" s="21"/>
      <c r="BZ7" s="168">
        <v>780596</v>
      </c>
      <c r="CA7" s="21"/>
      <c r="CB7" s="21"/>
      <c r="CC7" s="21"/>
      <c r="CD7" s="168">
        <v>1093644</v>
      </c>
      <c r="CE7" s="168">
        <v>345468</v>
      </c>
      <c r="CF7" s="168">
        <v>410906</v>
      </c>
      <c r="CG7" s="168">
        <v>1439112</v>
      </c>
      <c r="CH7" s="21"/>
      <c r="CI7" s="21"/>
      <c r="CJ7" s="21"/>
      <c r="CK7" s="21"/>
      <c r="CL7" s="21"/>
      <c r="CM7" s="21"/>
      <c r="CN7" s="21"/>
      <c r="CO7" s="21"/>
      <c r="CP7" s="168">
        <v>60980</v>
      </c>
      <c r="CQ7" s="21"/>
      <c r="CR7" s="21"/>
      <c r="CS7" s="168">
        <v>60980</v>
      </c>
      <c r="CT7" s="21"/>
      <c r="CU7" s="21"/>
      <c r="CV7" s="21"/>
      <c r="CW7" s="21"/>
      <c r="CX7" s="21"/>
      <c r="CY7" s="21"/>
      <c r="CZ7" s="21"/>
      <c r="DA7" s="21"/>
      <c r="DB7" s="21"/>
      <c r="DC7" s="168">
        <v>167011</v>
      </c>
      <c r="DD7" s="168">
        <v>125359</v>
      </c>
      <c r="DE7" s="168">
        <v>167011</v>
      </c>
      <c r="DF7" s="168">
        <v>13071059</v>
      </c>
      <c r="DG7" s="168">
        <v>2333138</v>
      </c>
      <c r="DH7" s="168">
        <v>2622765</v>
      </c>
      <c r="DI7" s="168">
        <v>15404197</v>
      </c>
      <c r="DJ7" s="21"/>
      <c r="DK7" s="21"/>
      <c r="DL7" s="21"/>
      <c r="DM7" s="21"/>
      <c r="DN7" s="168">
        <v>331703</v>
      </c>
      <c r="DO7" s="168">
        <v>36635277</v>
      </c>
      <c r="DP7" s="168">
        <v>33336091</v>
      </c>
      <c r="DQ7" s="168">
        <v>36966980</v>
      </c>
      <c r="DR7" s="21"/>
      <c r="DS7" s="168">
        <v>2196</v>
      </c>
      <c r="DT7" s="168">
        <v>4812</v>
      </c>
      <c r="DU7" s="168">
        <v>2196</v>
      </c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168">
        <v>20900413</v>
      </c>
      <c r="EL7" s="168">
        <v>8271863</v>
      </c>
      <c r="EM7" s="168">
        <v>9307485</v>
      </c>
      <c r="EN7" s="168">
        <v>29172276</v>
      </c>
      <c r="EO7" s="168">
        <v>1574142</v>
      </c>
      <c r="EP7" s="168">
        <v>48970450</v>
      </c>
      <c r="EQ7" s="168">
        <v>42510882</v>
      </c>
      <c r="ER7" s="168">
        <v>50544592</v>
      </c>
      <c r="ES7" s="168">
        <v>22474555</v>
      </c>
      <c r="ET7" s="168">
        <v>57242313</v>
      </c>
      <c r="EU7" s="168">
        <v>51818367</v>
      </c>
      <c r="EV7" s="168">
        <v>79716868</v>
      </c>
      <c r="EW7" s="168">
        <v>601745</v>
      </c>
      <c r="EX7" s="168">
        <v>1879666</v>
      </c>
      <c r="EY7" s="168">
        <v>1744453</v>
      </c>
      <c r="EZ7" s="168">
        <v>2481411</v>
      </c>
      <c r="FA7" s="21"/>
      <c r="FB7" s="21"/>
      <c r="FC7" s="21"/>
      <c r="FD7" s="21"/>
      <c r="FE7" s="21"/>
      <c r="FF7" s="21"/>
      <c r="FG7" s="21"/>
      <c r="FH7" s="21"/>
      <c r="FI7" s="168">
        <v>92227</v>
      </c>
      <c r="FJ7" s="168">
        <v>-42693</v>
      </c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168">
        <v>-29666</v>
      </c>
      <c r="FV7" s="168">
        <v>-53085</v>
      </c>
      <c r="FW7" s="168">
        <v>364766</v>
      </c>
      <c r="FX7" s="168">
        <v>584530</v>
      </c>
      <c r="FY7" s="168">
        <v>341210</v>
      </c>
      <c r="FZ7" s="168">
        <v>541415</v>
      </c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168">
        <v>585100</v>
      </c>
      <c r="GN7" s="168">
        <v>1143030</v>
      </c>
      <c r="GO7" s="168">
        <v>585100</v>
      </c>
      <c r="GP7" s="168">
        <v>1143030</v>
      </c>
      <c r="GQ7" s="21"/>
      <c r="GR7" s="21"/>
      <c r="GS7" s="168">
        <v>243890</v>
      </c>
      <c r="GT7" s="168">
        <v>601615</v>
      </c>
      <c r="GU7" s="168">
        <v>190493</v>
      </c>
      <c r="GV7" s="168">
        <v>78505</v>
      </c>
      <c r="GW7" s="168">
        <v>282720</v>
      </c>
      <c r="GX7" s="168">
        <v>35812</v>
      </c>
      <c r="GY7" s="21"/>
      <c r="GZ7" s="21"/>
      <c r="HA7" s="21"/>
      <c r="HB7" s="21"/>
      <c r="HC7" s="168">
        <v>4601349</v>
      </c>
      <c r="HD7" s="168">
        <v>4935677</v>
      </c>
      <c r="HE7" s="168">
        <v>222</v>
      </c>
      <c r="HF7" s="168">
        <v>80</v>
      </c>
      <c r="HG7" s="168">
        <v>7292</v>
      </c>
      <c r="HH7" s="168">
        <v>5892</v>
      </c>
      <c r="HI7" s="168">
        <v>692553</v>
      </c>
      <c r="HJ7" s="168">
        <v>892662</v>
      </c>
      <c r="HK7" s="21"/>
      <c r="HL7" s="21"/>
      <c r="HM7" s="21"/>
      <c r="HN7" s="21"/>
      <c r="HO7" s="168">
        <v>1069972</v>
      </c>
      <c r="HP7" s="168">
        <v>1112188</v>
      </c>
      <c r="HQ7" s="21"/>
      <c r="HR7" s="21"/>
      <c r="HS7" s="21"/>
      <c r="HT7" s="21"/>
      <c r="HU7" s="168">
        <v>1309053</v>
      </c>
      <c r="HV7" s="168">
        <v>1339803</v>
      </c>
      <c r="HW7" s="168">
        <v>423810</v>
      </c>
      <c r="HX7" s="168">
        <v>416024</v>
      </c>
      <c r="HY7" s="21"/>
      <c r="HZ7" s="21"/>
      <c r="IA7" s="21"/>
      <c r="IB7" s="21"/>
      <c r="IC7" s="21"/>
      <c r="ID7" s="21"/>
      <c r="IE7" s="168">
        <v>486392</v>
      </c>
      <c r="IF7" s="168">
        <v>543476</v>
      </c>
      <c r="IG7" s="168">
        <v>389667</v>
      </c>
      <c r="IH7" s="168">
        <v>480185</v>
      </c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168">
        <v>827974</v>
      </c>
      <c r="IV7" s="168">
        <v>1717168</v>
      </c>
      <c r="IW7" s="168">
        <v>1210349</v>
      </c>
      <c r="IX7" s="168">
        <v>2191461</v>
      </c>
      <c r="IY7" s="168">
        <v>-382376</v>
      </c>
      <c r="IZ7" s="168">
        <v>-474294</v>
      </c>
      <c r="JA7" s="168">
        <v>464150</v>
      </c>
      <c r="JB7" s="168">
        <v>997281</v>
      </c>
      <c r="JC7" s="21"/>
      <c r="JD7" s="21"/>
      <c r="JE7" s="168">
        <v>2742033</v>
      </c>
      <c r="JF7" s="168">
        <v>2734901</v>
      </c>
      <c r="JG7" s="21"/>
      <c r="JH7" s="21"/>
      <c r="JI7" s="168">
        <v>64263262</v>
      </c>
      <c r="JJ7" s="168">
        <v>69232836</v>
      </c>
      <c r="JK7" s="168">
        <v>389667</v>
      </c>
      <c r="JL7" s="168">
        <v>480185</v>
      </c>
      <c r="JM7" s="168">
        <v>65473612</v>
      </c>
      <c r="JN7" s="168">
        <v>71424297</v>
      </c>
      <c r="JO7" s="168">
        <v>7292</v>
      </c>
      <c r="JP7" s="168">
        <v>5892</v>
      </c>
      <c r="JQ7" s="21"/>
      <c r="JR7" s="21"/>
      <c r="JS7" s="21"/>
      <c r="JT7" s="21"/>
      <c r="JU7" s="21"/>
      <c r="JV7" s="21"/>
      <c r="JW7" s="168">
        <v>64316909</v>
      </c>
      <c r="JX7" s="168">
        <v>69534353</v>
      </c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168">
        <v>2594492</v>
      </c>
      <c r="KR7" s="168">
        <v>366</v>
      </c>
      <c r="KS7" s="21"/>
      <c r="KT7" s="21"/>
      <c r="KU7" s="21"/>
      <c r="KV7" s="21"/>
      <c r="KW7" s="21"/>
      <c r="KX7" s="21"/>
      <c r="KY7" s="21"/>
      <c r="KZ7" s="21"/>
      <c r="LA7" s="168">
        <v>1496000</v>
      </c>
      <c r="LB7" s="168">
        <v>1496000</v>
      </c>
      <c r="LC7" s="168">
        <v>10115093</v>
      </c>
      <c r="LD7" s="168">
        <v>9574398</v>
      </c>
      <c r="LE7" s="168">
        <v>341210</v>
      </c>
      <c r="LF7" s="168">
        <v>541415</v>
      </c>
      <c r="LG7" s="21"/>
      <c r="LH7" s="21"/>
      <c r="LI7" s="168">
        <v>970745</v>
      </c>
      <c r="LJ7" s="168">
        <v>1437639</v>
      </c>
      <c r="LK7" s="168">
        <v>9563982</v>
      </c>
      <c r="LL7" s="168">
        <v>5561097</v>
      </c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168">
        <v>17161378</v>
      </c>
      <c r="MD7" s="168">
        <v>15121411</v>
      </c>
      <c r="ME7" s="21"/>
      <c r="MF7" s="21"/>
      <c r="MG7" s="168">
        <v>3124791</v>
      </c>
      <c r="MH7" s="168">
        <v>3189413</v>
      </c>
      <c r="MI7" s="21"/>
      <c r="MJ7" s="21"/>
      <c r="MK7" s="21"/>
      <c r="ML7" s="21"/>
      <c r="MM7" s="168">
        <v>15769</v>
      </c>
      <c r="MN7" s="168">
        <v>29445</v>
      </c>
      <c r="MO7" s="21"/>
      <c r="MP7" s="21"/>
      <c r="MQ7" s="21"/>
      <c r="MR7" s="21"/>
      <c r="MS7" s="21"/>
      <c r="MT7" s="21"/>
      <c r="MU7" s="21"/>
      <c r="MV7" s="21"/>
      <c r="MW7" s="21"/>
      <c r="MX7" s="21"/>
      <c r="MY7" s="21"/>
      <c r="MZ7" s="21"/>
      <c r="NA7" s="21"/>
      <c r="NB7" s="21"/>
      <c r="NC7" s="168">
        <v>243890</v>
      </c>
      <c r="ND7" s="168">
        <v>601615</v>
      </c>
      <c r="NE7" s="21"/>
      <c r="NF7" s="21"/>
      <c r="NG7" s="168">
        <v>12544017</v>
      </c>
      <c r="NH7" s="168">
        <v>13020456</v>
      </c>
      <c r="NI7" s="21"/>
      <c r="NJ7" s="21"/>
      <c r="NK7" s="168">
        <v>10456303</v>
      </c>
      <c r="NL7" s="168">
        <v>10115813</v>
      </c>
      <c r="NM7" s="168">
        <v>13144988</v>
      </c>
      <c r="NN7" s="168">
        <v>9651547</v>
      </c>
      <c r="NO7" s="168">
        <v>57242313</v>
      </c>
      <c r="NP7" s="168">
        <v>51818367</v>
      </c>
      <c r="NQ7" s="168" t="s">
        <v>1300</v>
      </c>
      <c r="NR7" s="168" t="s">
        <v>769</v>
      </c>
      <c r="NS7" s="168" t="s">
        <v>770</v>
      </c>
      <c r="NT7" s="168" t="s">
        <v>771</v>
      </c>
      <c r="NU7" s="168">
        <v>1708</v>
      </c>
      <c r="NV7" s="168" t="s">
        <v>2104</v>
      </c>
      <c r="NW7" s="168" t="s">
        <v>28</v>
      </c>
      <c r="NX7" s="168" t="s">
        <v>25</v>
      </c>
      <c r="NY7" s="169">
        <v>42978</v>
      </c>
      <c r="NZ7" s="169">
        <v>42613</v>
      </c>
      <c r="OA7" s="169">
        <v>43119</v>
      </c>
      <c r="OB7" s="168" t="s">
        <v>1301</v>
      </c>
      <c r="OC7" s="168">
        <v>12</v>
      </c>
      <c r="OD7" s="168" t="s">
        <v>2105</v>
      </c>
      <c r="OE7" s="168" t="s">
        <v>2244</v>
      </c>
      <c r="OF7" s="168" t="s">
        <v>2446</v>
      </c>
      <c r="OG7" s="168" t="s">
        <v>1961</v>
      </c>
      <c r="OH7" s="168" t="s">
        <v>783</v>
      </c>
      <c r="OI7" s="168" t="s">
        <v>766</v>
      </c>
      <c r="OJ7" s="168" t="s">
        <v>3240</v>
      </c>
      <c r="OK7" s="168" t="s">
        <v>767</v>
      </c>
    </row>
    <row r="8" spans="1:401" x14ac:dyDescent="0.2">
      <c r="A8" s="170" t="str">
        <f>Liste[[#This Row],[Siren]]</f>
        <v>751095712</v>
      </c>
      <c r="B8" s="198" t="str">
        <f>Liste[[#This Row],[Dénomination]]&amp;" - comptes "&amp;YEAR(Liste[[#This Row],[Date de cloture de l''exercice]])</f>
        <v>AFFLELOU - comptes 2017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168">
        <v>171478000</v>
      </c>
      <c r="EI8" s="168">
        <v>175599000</v>
      </c>
      <c r="EJ8" s="21"/>
      <c r="EK8" s="21"/>
      <c r="EL8" s="168">
        <v>932824000</v>
      </c>
      <c r="EM8" s="168">
        <v>936196000</v>
      </c>
      <c r="EN8" s="21"/>
      <c r="EO8" s="21"/>
      <c r="EP8" s="168">
        <v>240908000</v>
      </c>
      <c r="EQ8" s="168">
        <v>237369000</v>
      </c>
      <c r="ER8" s="21"/>
      <c r="ES8" s="21"/>
      <c r="ET8" s="168">
        <v>1173732000</v>
      </c>
      <c r="EU8" s="168">
        <v>1173565000</v>
      </c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168">
        <v>-959000</v>
      </c>
      <c r="GN8" s="168">
        <v>-9606000</v>
      </c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168">
        <v>-42476000</v>
      </c>
      <c r="HD8" s="168">
        <v>-39462000</v>
      </c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168">
        <v>-2188000</v>
      </c>
      <c r="IF8" s="168">
        <v>-3078000</v>
      </c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168">
        <v>-22649000</v>
      </c>
      <c r="IV8" s="168">
        <v>-6919000</v>
      </c>
      <c r="IW8" s="168">
        <v>67454000</v>
      </c>
      <c r="IX8" s="168">
        <v>64814000</v>
      </c>
      <c r="IY8" s="168">
        <v>-77314000</v>
      </c>
      <c r="IZ8" s="168">
        <v>-68454000</v>
      </c>
      <c r="JA8" s="21"/>
      <c r="JB8" s="21"/>
      <c r="JC8" s="21"/>
      <c r="JD8" s="21"/>
      <c r="JE8" s="21"/>
      <c r="JF8" s="21"/>
      <c r="JG8" s="21"/>
      <c r="JH8" s="21"/>
      <c r="JI8" s="168">
        <v>305367000</v>
      </c>
      <c r="JJ8" s="168">
        <v>280849000</v>
      </c>
      <c r="JK8" s="168">
        <v>79933000</v>
      </c>
      <c r="JL8" s="168">
        <v>71982000</v>
      </c>
      <c r="JM8" s="168">
        <v>372822000</v>
      </c>
      <c r="JN8" s="168">
        <v>345663000</v>
      </c>
      <c r="JO8" s="168">
        <v>2619000</v>
      </c>
      <c r="JP8" s="168">
        <v>3528000</v>
      </c>
      <c r="JQ8" s="21"/>
      <c r="JR8" s="21"/>
      <c r="JS8" s="21"/>
      <c r="JT8" s="21"/>
      <c r="JU8" s="21"/>
      <c r="JV8" s="21"/>
      <c r="JW8" s="168">
        <v>372822000</v>
      </c>
      <c r="JX8" s="168">
        <v>345663000</v>
      </c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168">
        <v>27723000</v>
      </c>
      <c r="KV8" s="168">
        <v>-31028000</v>
      </c>
      <c r="KW8" s="21"/>
      <c r="KX8" s="21"/>
      <c r="KY8" s="21"/>
      <c r="KZ8" s="21"/>
      <c r="LA8" s="168">
        <v>78332000</v>
      </c>
      <c r="LB8" s="168">
        <v>146690000</v>
      </c>
      <c r="LC8" s="21"/>
      <c r="LD8" s="21"/>
      <c r="LE8" s="21"/>
      <c r="LF8" s="21"/>
      <c r="LG8" s="21"/>
      <c r="LH8" s="21"/>
      <c r="LI8" s="21"/>
      <c r="LJ8" s="21"/>
      <c r="LK8" s="168">
        <v>43295000</v>
      </c>
      <c r="LL8" s="168">
        <v>40478000</v>
      </c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168">
        <v>156076000</v>
      </c>
      <c r="MH8" s="168">
        <v>181964000</v>
      </c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168">
        <v>-959000</v>
      </c>
      <c r="ND8" s="168">
        <v>-9606000</v>
      </c>
      <c r="NE8" s="21"/>
      <c r="NF8" s="21"/>
      <c r="NG8" s="168">
        <v>104812000</v>
      </c>
      <c r="NH8" s="168">
        <v>105830000</v>
      </c>
      <c r="NI8" s="21"/>
      <c r="NJ8" s="21"/>
      <c r="NK8" s="21"/>
      <c r="NL8" s="21"/>
      <c r="NM8" s="168">
        <v>1068920000</v>
      </c>
      <c r="NN8" s="168">
        <v>1067735000</v>
      </c>
      <c r="NO8" s="168">
        <v>1173732000</v>
      </c>
      <c r="NP8" s="168">
        <v>1173565000</v>
      </c>
      <c r="NQ8" s="168" t="s">
        <v>836</v>
      </c>
      <c r="NR8" s="168" t="s">
        <v>769</v>
      </c>
      <c r="NS8" s="168" t="s">
        <v>770</v>
      </c>
      <c r="NT8" s="168" t="s">
        <v>771</v>
      </c>
      <c r="NU8" s="168">
        <v>7501</v>
      </c>
      <c r="NV8" s="168" t="s">
        <v>2104</v>
      </c>
      <c r="NW8" s="168" t="s">
        <v>28</v>
      </c>
      <c r="NX8" s="168" t="s">
        <v>25</v>
      </c>
      <c r="NY8" s="169">
        <v>42947</v>
      </c>
      <c r="NZ8" s="169">
        <v>42582</v>
      </c>
      <c r="OA8" s="169">
        <v>43111</v>
      </c>
      <c r="OB8" s="168" t="s">
        <v>3406</v>
      </c>
      <c r="OC8" s="168">
        <v>12</v>
      </c>
      <c r="OD8" s="168" t="s">
        <v>2106</v>
      </c>
      <c r="OE8" s="168" t="s">
        <v>2312</v>
      </c>
      <c r="OF8" s="168" t="s">
        <v>3407</v>
      </c>
      <c r="OG8" s="168" t="s">
        <v>3408</v>
      </c>
      <c r="OH8" s="168" t="s">
        <v>765</v>
      </c>
      <c r="OI8" s="168" t="s">
        <v>766</v>
      </c>
      <c r="OJ8" s="168" t="s">
        <v>3240</v>
      </c>
      <c r="OK8" s="168" t="s">
        <v>767</v>
      </c>
    </row>
    <row r="9" spans="1:401" x14ac:dyDescent="0.2">
      <c r="A9" s="170" t="str">
        <f>Liste[[#This Row],[Siren]]</f>
        <v>786187898</v>
      </c>
      <c r="B9" s="198" t="str">
        <f>Liste[[#This Row],[Dénomination]]&amp;" - comptes "&amp;YEAR(Liste[[#This Row],[Date de cloture de l''exercice]])</f>
        <v>FLEURON D ANJOU - comptes 2017</v>
      </c>
      <c r="C9" s="21"/>
      <c r="D9" s="21"/>
      <c r="E9" s="21"/>
      <c r="F9" s="168">
        <v>2209000</v>
      </c>
      <c r="G9" s="168">
        <v>2985000</v>
      </c>
      <c r="H9" s="168">
        <v>2209000</v>
      </c>
      <c r="I9" s="168">
        <v>2589000</v>
      </c>
      <c r="J9" s="168">
        <v>625000</v>
      </c>
      <c r="K9" s="168">
        <v>443000</v>
      </c>
      <c r="L9" s="168">
        <v>3214000</v>
      </c>
      <c r="M9" s="21"/>
      <c r="N9" s="168">
        <v>16000</v>
      </c>
      <c r="O9" s="168">
        <v>16000</v>
      </c>
      <c r="P9" s="168">
        <v>16000</v>
      </c>
      <c r="Q9" s="21"/>
      <c r="R9" s="21"/>
      <c r="S9" s="21"/>
      <c r="T9" s="21"/>
      <c r="U9" s="21"/>
      <c r="V9" s="168">
        <v>42000</v>
      </c>
      <c r="W9" s="168">
        <v>42000</v>
      </c>
      <c r="X9" s="168">
        <v>43000</v>
      </c>
      <c r="Y9" s="21"/>
      <c r="Z9" s="168">
        <v>16000</v>
      </c>
      <c r="AA9" s="168">
        <v>16000</v>
      </c>
      <c r="AB9" s="168">
        <v>16000</v>
      </c>
      <c r="AC9" s="21"/>
      <c r="AD9" s="21"/>
      <c r="AE9" s="168">
        <v>3000</v>
      </c>
      <c r="AF9" s="21"/>
      <c r="AG9" s="21"/>
      <c r="AH9" s="21"/>
      <c r="AI9" s="21"/>
      <c r="AJ9" s="21"/>
      <c r="AK9" s="21"/>
      <c r="AL9" s="168">
        <v>4000</v>
      </c>
      <c r="AM9" s="168">
        <v>16000</v>
      </c>
      <c r="AN9" s="168">
        <v>4000</v>
      </c>
      <c r="AO9" s="21"/>
      <c r="AP9" s="21"/>
      <c r="AQ9" s="21"/>
      <c r="AR9" s="21"/>
      <c r="AS9" s="21"/>
      <c r="AT9" s="21"/>
      <c r="AU9" s="21"/>
      <c r="AV9" s="21"/>
      <c r="AW9" s="168">
        <v>8000</v>
      </c>
      <c r="AX9" s="21"/>
      <c r="AY9" s="21"/>
      <c r="AZ9" s="168">
        <v>238000</v>
      </c>
      <c r="BA9" s="168">
        <v>253000</v>
      </c>
      <c r="BB9" s="168">
        <v>238000</v>
      </c>
      <c r="BC9" s="168">
        <v>272000</v>
      </c>
      <c r="BD9" s="168">
        <v>5915000</v>
      </c>
      <c r="BE9" s="168">
        <v>7025000</v>
      </c>
      <c r="BF9" s="168">
        <v>6187000</v>
      </c>
      <c r="BG9" s="168">
        <v>530000</v>
      </c>
      <c r="BH9" s="168">
        <v>136000</v>
      </c>
      <c r="BI9" s="168">
        <v>88000</v>
      </c>
      <c r="BJ9" s="168">
        <v>666000</v>
      </c>
      <c r="BK9" s="168">
        <v>6726000</v>
      </c>
      <c r="BL9" s="168">
        <v>1754000</v>
      </c>
      <c r="BM9" s="168">
        <v>1921000</v>
      </c>
      <c r="BN9" s="168">
        <v>8481000</v>
      </c>
      <c r="BO9" s="21"/>
      <c r="BP9" s="168">
        <v>2000</v>
      </c>
      <c r="BQ9" s="168">
        <v>2000</v>
      </c>
      <c r="BR9" s="168">
        <v>2000</v>
      </c>
      <c r="BS9" s="21"/>
      <c r="BT9" s="21"/>
      <c r="BU9" s="21"/>
      <c r="BV9" s="21"/>
      <c r="BW9" s="21"/>
      <c r="BX9" s="168">
        <v>8188000</v>
      </c>
      <c r="BY9" s="168">
        <v>5456000</v>
      </c>
      <c r="BZ9" s="168">
        <v>8188000</v>
      </c>
      <c r="CA9" s="168">
        <v>1000</v>
      </c>
      <c r="CB9" s="21"/>
      <c r="CC9" s="168">
        <v>1000</v>
      </c>
      <c r="CD9" s="168">
        <v>1278000</v>
      </c>
      <c r="CE9" s="168">
        <v>363000</v>
      </c>
      <c r="CF9" s="168">
        <v>488000</v>
      </c>
      <c r="CG9" s="168">
        <v>1641000</v>
      </c>
      <c r="CH9" s="168">
        <v>8000</v>
      </c>
      <c r="CI9" s="168">
        <v>523000</v>
      </c>
      <c r="CJ9" s="168">
        <v>529000</v>
      </c>
      <c r="CK9" s="168">
        <v>530000</v>
      </c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168">
        <v>57000</v>
      </c>
      <c r="DD9" s="168">
        <v>27000</v>
      </c>
      <c r="DE9" s="168">
        <v>57000</v>
      </c>
      <c r="DF9" s="168">
        <v>8684000</v>
      </c>
      <c r="DG9" s="168">
        <v>2176000</v>
      </c>
      <c r="DH9" s="168">
        <v>1847000</v>
      </c>
      <c r="DI9" s="168">
        <v>10860000</v>
      </c>
      <c r="DJ9" s="21"/>
      <c r="DK9" s="168">
        <v>72000</v>
      </c>
      <c r="DL9" s="168">
        <v>82000</v>
      </c>
      <c r="DM9" s="168">
        <v>72000</v>
      </c>
      <c r="DN9" s="168">
        <v>91000</v>
      </c>
      <c r="DO9" s="168">
        <v>920000</v>
      </c>
      <c r="DP9" s="168">
        <v>852000</v>
      </c>
      <c r="DQ9" s="168">
        <v>1011000</v>
      </c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168">
        <v>21420000</v>
      </c>
      <c r="EL9" s="168">
        <v>6840000</v>
      </c>
      <c r="EM9" s="168">
        <v>6550000</v>
      </c>
      <c r="EN9" s="168">
        <v>28260000</v>
      </c>
      <c r="EO9" s="168">
        <v>371000</v>
      </c>
      <c r="EP9" s="168">
        <v>18068000</v>
      </c>
      <c r="EQ9" s="168">
        <v>17333000</v>
      </c>
      <c r="ER9" s="168">
        <v>18439000</v>
      </c>
      <c r="ES9" s="168">
        <v>21791000</v>
      </c>
      <c r="ET9" s="168">
        <v>24908000</v>
      </c>
      <c r="EU9" s="168">
        <v>23891000</v>
      </c>
      <c r="EV9" s="168">
        <v>46699000</v>
      </c>
      <c r="EW9" s="168">
        <v>1613000</v>
      </c>
      <c r="EX9" s="168">
        <v>1651000</v>
      </c>
      <c r="EY9" s="168">
        <v>1656000</v>
      </c>
      <c r="EZ9" s="168">
        <v>3264000</v>
      </c>
      <c r="FA9" s="21"/>
      <c r="FB9" s="21"/>
      <c r="FC9" s="21"/>
      <c r="FD9" s="21"/>
      <c r="FE9" s="21"/>
      <c r="FF9" s="21"/>
      <c r="FG9" s="168">
        <v>134000</v>
      </c>
      <c r="FH9" s="21"/>
      <c r="FI9" s="168">
        <v>300000</v>
      </c>
      <c r="FJ9" s="168">
        <v>595000</v>
      </c>
      <c r="FK9" s="21"/>
      <c r="FL9" s="21"/>
      <c r="FM9" s="168">
        <v>5000</v>
      </c>
      <c r="FN9" s="168">
        <v>3000</v>
      </c>
      <c r="FO9" s="168">
        <v>44000</v>
      </c>
      <c r="FP9" s="168">
        <v>84000</v>
      </c>
      <c r="FQ9" s="168">
        <v>125000</v>
      </c>
      <c r="FR9" s="168">
        <v>138000</v>
      </c>
      <c r="FS9" s="21"/>
      <c r="FT9" s="21"/>
      <c r="FU9" s="168">
        <v>-46000</v>
      </c>
      <c r="FV9" s="168">
        <v>19000</v>
      </c>
      <c r="FW9" s="168">
        <v>244000</v>
      </c>
      <c r="FX9" s="168">
        <v>135000</v>
      </c>
      <c r="FY9" s="21"/>
      <c r="FZ9" s="168">
        <v>1000</v>
      </c>
      <c r="GA9" s="21"/>
      <c r="GB9" s="21"/>
      <c r="GC9" s="168">
        <v>27000</v>
      </c>
      <c r="GD9" s="168">
        <v>17000</v>
      </c>
      <c r="GE9" s="168">
        <v>322000</v>
      </c>
      <c r="GF9" s="168">
        <v>665000</v>
      </c>
      <c r="GG9" s="21"/>
      <c r="GH9" s="21"/>
      <c r="GI9" s="21"/>
      <c r="GJ9" s="21"/>
      <c r="GK9" s="21"/>
      <c r="GL9" s="21"/>
      <c r="GM9" s="168">
        <v>489000</v>
      </c>
      <c r="GN9" s="168">
        <v>548000</v>
      </c>
      <c r="GO9" s="168">
        <v>614000</v>
      </c>
      <c r="GP9" s="168">
        <v>686000</v>
      </c>
      <c r="GQ9" s="21"/>
      <c r="GR9" s="21"/>
      <c r="GS9" s="168">
        <v>489000</v>
      </c>
      <c r="GT9" s="168">
        <v>547000</v>
      </c>
      <c r="GU9" s="168">
        <v>49000</v>
      </c>
      <c r="GV9" s="168">
        <v>87000</v>
      </c>
      <c r="GW9" s="168">
        <v>349000</v>
      </c>
      <c r="GX9" s="168">
        <v>681000</v>
      </c>
      <c r="GY9" s="168">
        <v>11941000</v>
      </c>
      <c r="GZ9" s="168">
        <v>11989000</v>
      </c>
      <c r="HA9" s="168">
        <v>28166000</v>
      </c>
      <c r="HB9" s="168">
        <v>26555000</v>
      </c>
      <c r="HC9" s="168">
        <v>14819000</v>
      </c>
      <c r="HD9" s="168">
        <v>14867000</v>
      </c>
      <c r="HE9" s="168">
        <v>248000</v>
      </c>
      <c r="HF9" s="168">
        <v>812000</v>
      </c>
      <c r="HG9" s="168">
        <v>13000</v>
      </c>
      <c r="HH9" s="168">
        <v>11000</v>
      </c>
      <c r="HI9" s="168">
        <v>12000</v>
      </c>
      <c r="HJ9" s="168">
        <v>7000</v>
      </c>
      <c r="HK9" s="21"/>
      <c r="HL9" s="21"/>
      <c r="HM9" s="21"/>
      <c r="HN9" s="21"/>
      <c r="HO9" s="168">
        <v>2737000</v>
      </c>
      <c r="HP9" s="168">
        <v>2612000</v>
      </c>
      <c r="HQ9" s="168">
        <v>25000</v>
      </c>
      <c r="HR9" s="168">
        <v>83000</v>
      </c>
      <c r="HS9" s="168">
        <v>13000</v>
      </c>
      <c r="HT9" s="168">
        <v>1000</v>
      </c>
      <c r="HU9" s="168">
        <v>1156000</v>
      </c>
      <c r="HV9" s="168">
        <v>1142000</v>
      </c>
      <c r="HW9" s="21"/>
      <c r="HX9" s="21"/>
      <c r="HY9" s="168">
        <v>143000</v>
      </c>
      <c r="HZ9" s="168">
        <v>83000</v>
      </c>
      <c r="IA9" s="168">
        <v>147000</v>
      </c>
      <c r="IB9" s="168">
        <v>248000</v>
      </c>
      <c r="IC9" s="168">
        <v>1000</v>
      </c>
      <c r="ID9" s="21"/>
      <c r="IE9" s="168">
        <v>272000</v>
      </c>
      <c r="IF9" s="168">
        <v>233000</v>
      </c>
      <c r="IG9" s="168">
        <v>228000</v>
      </c>
      <c r="IH9" s="168">
        <v>259000</v>
      </c>
      <c r="II9" s="21"/>
      <c r="IJ9" s="21"/>
      <c r="IK9" s="21"/>
      <c r="IL9" s="21"/>
      <c r="IM9" s="168">
        <v>-5000</v>
      </c>
      <c r="IN9" s="168">
        <v>-55000</v>
      </c>
      <c r="IO9" s="21"/>
      <c r="IP9" s="21"/>
      <c r="IQ9" s="168">
        <v>7000</v>
      </c>
      <c r="IR9" s="168">
        <v>4000</v>
      </c>
      <c r="IS9" s="21"/>
      <c r="IT9" s="168">
        <v>58000</v>
      </c>
      <c r="IU9" s="168">
        <v>512000</v>
      </c>
      <c r="IV9" s="168">
        <v>246000</v>
      </c>
      <c r="IW9" s="168">
        <v>732000</v>
      </c>
      <c r="IX9" s="168">
        <v>515000</v>
      </c>
      <c r="IY9" s="168">
        <v>-220000</v>
      </c>
      <c r="IZ9" s="168">
        <v>-269000</v>
      </c>
      <c r="JA9" s="168">
        <v>517000</v>
      </c>
      <c r="JB9" s="168">
        <v>969000</v>
      </c>
      <c r="JC9" s="21"/>
      <c r="JD9" s="21"/>
      <c r="JE9" s="168">
        <v>7249000</v>
      </c>
      <c r="JF9" s="168">
        <v>6851000</v>
      </c>
      <c r="JG9" s="168">
        <v>36000</v>
      </c>
      <c r="JH9" s="168">
        <v>38000</v>
      </c>
      <c r="JI9" s="168">
        <v>66820000</v>
      </c>
      <c r="JJ9" s="168">
        <v>65438000</v>
      </c>
      <c r="JK9" s="168">
        <v>253000</v>
      </c>
      <c r="JL9" s="168">
        <v>343000</v>
      </c>
      <c r="JM9" s="168">
        <v>67553000</v>
      </c>
      <c r="JN9" s="168">
        <v>65953000</v>
      </c>
      <c r="JO9" s="168">
        <v>34000</v>
      </c>
      <c r="JP9" s="168">
        <v>73000</v>
      </c>
      <c r="JQ9" s="168">
        <v>22000</v>
      </c>
      <c r="JR9" s="168">
        <v>-1000</v>
      </c>
      <c r="JS9" s="168">
        <v>-80000</v>
      </c>
      <c r="JT9" s="168">
        <v>47000</v>
      </c>
      <c r="JU9" s="168">
        <v>8260000</v>
      </c>
      <c r="JV9" s="168">
        <v>58732000</v>
      </c>
      <c r="JW9" s="168">
        <v>66992000</v>
      </c>
      <c r="JX9" s="168">
        <v>64994000</v>
      </c>
      <c r="JY9" s="168">
        <v>1886000</v>
      </c>
      <c r="JZ9" s="168">
        <v>47129000</v>
      </c>
      <c r="KA9" s="168">
        <v>49015000</v>
      </c>
      <c r="KB9" s="168">
        <v>46763000</v>
      </c>
      <c r="KC9" s="168">
        <v>37000</v>
      </c>
      <c r="KD9" s="168">
        <v>1964000</v>
      </c>
      <c r="KE9" s="168">
        <v>2001000</v>
      </c>
      <c r="KF9" s="168">
        <v>1821000</v>
      </c>
      <c r="KG9" s="168">
        <v>6337000</v>
      </c>
      <c r="KH9" s="168">
        <v>9639000</v>
      </c>
      <c r="KI9" s="168">
        <v>15976000</v>
      </c>
      <c r="KJ9" s="168">
        <v>16410000</v>
      </c>
      <c r="KK9" s="21"/>
      <c r="KL9" s="21"/>
      <c r="KM9" s="21"/>
      <c r="KN9" s="21"/>
      <c r="KO9" s="21"/>
      <c r="KP9" s="21"/>
      <c r="KQ9" s="168">
        <v>1844000</v>
      </c>
      <c r="KR9" s="168">
        <v>1508000</v>
      </c>
      <c r="KS9" s="21"/>
      <c r="KT9" s="21"/>
      <c r="KU9" s="21"/>
      <c r="KV9" s="21"/>
      <c r="KW9" s="21"/>
      <c r="KX9" s="21"/>
      <c r="KY9" s="21"/>
      <c r="KZ9" s="168">
        <v>29</v>
      </c>
      <c r="LA9" s="168">
        <v>2179000</v>
      </c>
      <c r="LB9" s="168">
        <v>2274000</v>
      </c>
      <c r="LC9" s="21"/>
      <c r="LD9" s="21"/>
      <c r="LE9" s="21"/>
      <c r="LF9" s="21"/>
      <c r="LG9" s="21"/>
      <c r="LH9" s="21"/>
      <c r="LI9" s="168">
        <v>3589000</v>
      </c>
      <c r="LJ9" s="168">
        <v>3186000</v>
      </c>
      <c r="LK9" s="168">
        <v>4818000</v>
      </c>
      <c r="LL9" s="168">
        <v>5092000</v>
      </c>
      <c r="LM9" s="168">
        <v>178000</v>
      </c>
      <c r="LN9" s="168">
        <v>91000</v>
      </c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168">
        <v>3000</v>
      </c>
      <c r="MD9" s="168">
        <v>2000</v>
      </c>
      <c r="ME9" s="168">
        <v>4190000</v>
      </c>
      <c r="MF9" s="168">
        <v>4225000</v>
      </c>
      <c r="MG9" s="21"/>
      <c r="MH9" s="21"/>
      <c r="MI9" s="168">
        <v>73000</v>
      </c>
      <c r="MJ9" s="168">
        <v>72000</v>
      </c>
      <c r="MK9" s="21"/>
      <c r="ML9" s="21"/>
      <c r="MM9" s="168">
        <v>116000</v>
      </c>
      <c r="MN9" s="168">
        <v>138000</v>
      </c>
      <c r="MO9" s="168">
        <v>716000</v>
      </c>
      <c r="MP9" s="168">
        <v>573000</v>
      </c>
      <c r="MQ9" s="168">
        <v>1000</v>
      </c>
      <c r="MR9" s="21"/>
      <c r="MS9" s="21"/>
      <c r="MT9" s="21"/>
      <c r="MU9" s="21"/>
      <c r="MV9" s="21"/>
      <c r="MW9" s="168">
        <v>888000</v>
      </c>
      <c r="MX9" s="168">
        <v>874000</v>
      </c>
      <c r="MY9" s="21"/>
      <c r="MZ9" s="21"/>
      <c r="NA9" s="21"/>
      <c r="NB9" s="21"/>
      <c r="NC9" s="168">
        <v>489000</v>
      </c>
      <c r="ND9" s="168">
        <v>547000</v>
      </c>
      <c r="NE9" s="168">
        <v>240000</v>
      </c>
      <c r="NF9" s="168">
        <v>306000</v>
      </c>
      <c r="NG9" s="168">
        <v>9450000</v>
      </c>
      <c r="NH9" s="168">
        <v>9035000</v>
      </c>
      <c r="NI9" s="21"/>
      <c r="NJ9" s="21"/>
      <c r="NK9" s="168">
        <v>3000</v>
      </c>
      <c r="NL9" s="168">
        <v>11000</v>
      </c>
      <c r="NM9" s="168">
        <v>14738000</v>
      </c>
      <c r="NN9" s="168">
        <v>14272000</v>
      </c>
      <c r="NO9" s="168">
        <v>24908000</v>
      </c>
      <c r="NP9" s="168">
        <v>23891000</v>
      </c>
      <c r="NQ9" s="168" t="s">
        <v>1026</v>
      </c>
      <c r="NR9" s="168" t="s">
        <v>811</v>
      </c>
      <c r="NS9" s="168" t="s">
        <v>770</v>
      </c>
      <c r="NT9" s="168" t="s">
        <v>771</v>
      </c>
      <c r="NU9" s="168">
        <v>4901</v>
      </c>
      <c r="NV9" s="168" t="s">
        <v>2104</v>
      </c>
      <c r="NW9" s="168" t="s">
        <v>28</v>
      </c>
      <c r="NX9" s="168" t="s">
        <v>25</v>
      </c>
      <c r="NY9" s="169">
        <v>42947</v>
      </c>
      <c r="NZ9" s="169">
        <v>42582</v>
      </c>
      <c r="OA9" s="169">
        <v>43117</v>
      </c>
      <c r="OB9" s="168" t="s">
        <v>1027</v>
      </c>
      <c r="OC9" s="168">
        <v>12</v>
      </c>
      <c r="OD9" s="168" t="s">
        <v>2105</v>
      </c>
      <c r="OE9" s="168" t="s">
        <v>2189</v>
      </c>
      <c r="OF9" s="168" t="s">
        <v>2230</v>
      </c>
      <c r="OG9" s="168" t="s">
        <v>1852</v>
      </c>
      <c r="OH9" s="168" t="s">
        <v>798</v>
      </c>
      <c r="OI9" s="168" t="s">
        <v>766</v>
      </c>
      <c r="OJ9" s="168" t="s">
        <v>3240</v>
      </c>
      <c r="OK9" s="168" t="s">
        <v>809</v>
      </c>
    </row>
    <row r="10" spans="1:401" x14ac:dyDescent="0.2">
      <c r="A10" s="170" t="str">
        <f>Liste[[#This Row],[Siren]]</f>
        <v>512983214</v>
      </c>
      <c r="B10" s="198" t="str">
        <f>Liste[[#This Row],[Dénomination]]&amp;" - comptes "&amp;YEAR(Liste[[#This Row],[Date de cloture de l''exercice]])</f>
        <v>BATEDIS - comptes 2017</v>
      </c>
      <c r="C10" s="21"/>
      <c r="D10" s="21"/>
      <c r="E10" s="21"/>
      <c r="F10" s="168">
        <v>1291740</v>
      </c>
      <c r="G10" s="168">
        <v>1338664</v>
      </c>
      <c r="H10" s="168">
        <v>1291740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168">
        <v>180908</v>
      </c>
      <c r="BA10" s="168">
        <v>209181</v>
      </c>
      <c r="BB10" s="168">
        <v>180908</v>
      </c>
      <c r="BC10" s="168">
        <v>3689</v>
      </c>
      <c r="BD10" s="168">
        <v>106397</v>
      </c>
      <c r="BE10" s="168">
        <v>72963</v>
      </c>
      <c r="BF10" s="168">
        <v>110086</v>
      </c>
      <c r="BG10" s="168">
        <v>56239</v>
      </c>
      <c r="BH10" s="168">
        <v>128</v>
      </c>
      <c r="BI10" s="168">
        <v>937</v>
      </c>
      <c r="BJ10" s="168">
        <v>56368</v>
      </c>
      <c r="BK10" s="168">
        <v>3300756</v>
      </c>
      <c r="BL10" s="168">
        <v>6857064</v>
      </c>
      <c r="BM10" s="168">
        <v>7367078</v>
      </c>
      <c r="BN10" s="168">
        <v>10157821</v>
      </c>
      <c r="BO10" s="21"/>
      <c r="BP10" s="21"/>
      <c r="BQ10" s="21"/>
      <c r="BR10" s="21"/>
      <c r="BS10" s="21"/>
      <c r="BT10" s="21"/>
      <c r="BU10" s="21"/>
      <c r="BV10" s="21"/>
      <c r="BW10" s="21"/>
      <c r="BX10" s="168">
        <v>745511</v>
      </c>
      <c r="BY10" s="168">
        <v>487032</v>
      </c>
      <c r="BZ10" s="168">
        <v>745511</v>
      </c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168">
        <v>2079738</v>
      </c>
      <c r="DG10" s="168">
        <v>521092</v>
      </c>
      <c r="DH10" s="168">
        <v>587780</v>
      </c>
      <c r="DI10" s="168">
        <v>2600830</v>
      </c>
      <c r="DJ10" s="21"/>
      <c r="DK10" s="168">
        <v>3363219</v>
      </c>
      <c r="DL10" s="168">
        <v>3688880</v>
      </c>
      <c r="DM10" s="168">
        <v>3363219</v>
      </c>
      <c r="DN10" s="21"/>
      <c r="DO10" s="168">
        <v>12943</v>
      </c>
      <c r="DP10" s="168">
        <v>9082</v>
      </c>
      <c r="DQ10" s="168">
        <v>12943</v>
      </c>
      <c r="DR10" s="21"/>
      <c r="DS10" s="21"/>
      <c r="DT10" s="21"/>
      <c r="DU10" s="21"/>
      <c r="DV10" s="21"/>
      <c r="DW10" s="168">
        <v>239377</v>
      </c>
      <c r="DX10" s="168">
        <v>244340</v>
      </c>
      <c r="DY10" s="168">
        <v>239377</v>
      </c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168">
        <v>3689</v>
      </c>
      <c r="EL10" s="168">
        <v>7341082</v>
      </c>
      <c r="EM10" s="168">
        <v>7807783</v>
      </c>
      <c r="EN10" s="168">
        <v>7344771</v>
      </c>
      <c r="EO10" s="168">
        <v>3689</v>
      </c>
      <c r="EP10" s="168">
        <v>7341082</v>
      </c>
      <c r="EQ10" s="168">
        <v>7807783</v>
      </c>
      <c r="ER10" s="168">
        <v>7344771</v>
      </c>
      <c r="ES10" s="168">
        <v>5904196</v>
      </c>
      <c r="ET10" s="168">
        <v>18224152</v>
      </c>
      <c r="EU10" s="168">
        <v>18654548</v>
      </c>
      <c r="EV10" s="168">
        <v>24128349</v>
      </c>
      <c r="EW10" s="168">
        <v>11006</v>
      </c>
      <c r="EX10" s="168">
        <v>1886309</v>
      </c>
      <c r="EY10" s="168">
        <v>1879634</v>
      </c>
      <c r="EZ10" s="168">
        <v>1897316</v>
      </c>
      <c r="FA10" s="21"/>
      <c r="FB10" s="21"/>
      <c r="FC10" s="21"/>
      <c r="FD10" s="21"/>
      <c r="FE10" s="21"/>
      <c r="FF10" s="168">
        <v>1154912</v>
      </c>
      <c r="FG10" s="168">
        <v>1516634</v>
      </c>
      <c r="FH10" s="168">
        <v>1154912</v>
      </c>
      <c r="FI10" s="168">
        <v>-7113</v>
      </c>
      <c r="FJ10" s="168">
        <v>11298</v>
      </c>
      <c r="FK10" s="21"/>
      <c r="FL10" s="21"/>
      <c r="FM10" s="168">
        <v>5000</v>
      </c>
      <c r="FN10" s="168">
        <v>90</v>
      </c>
      <c r="FO10" s="168">
        <v>39300</v>
      </c>
      <c r="FP10" s="21"/>
      <c r="FQ10" s="168">
        <v>178161</v>
      </c>
      <c r="FR10" s="168">
        <v>178161</v>
      </c>
      <c r="FS10" s="21"/>
      <c r="FT10" s="168">
        <v>4876</v>
      </c>
      <c r="FU10" s="168">
        <v>28564</v>
      </c>
      <c r="FV10" s="168">
        <v>-1998</v>
      </c>
      <c r="FW10" s="168">
        <v>161951</v>
      </c>
      <c r="FX10" s="168">
        <v>254661</v>
      </c>
      <c r="FY10" s="168">
        <v>45</v>
      </c>
      <c r="FZ10" s="168">
        <v>57</v>
      </c>
      <c r="GA10" s="21"/>
      <c r="GB10" s="21"/>
      <c r="GC10" s="21"/>
      <c r="GD10" s="168">
        <v>16124</v>
      </c>
      <c r="GE10" s="168">
        <v>37186</v>
      </c>
      <c r="GF10" s="168">
        <v>140</v>
      </c>
      <c r="GG10" s="21"/>
      <c r="GH10" s="21"/>
      <c r="GI10" s="21"/>
      <c r="GJ10" s="21"/>
      <c r="GK10" s="21"/>
      <c r="GL10" s="21"/>
      <c r="GM10" s="168">
        <v>560254</v>
      </c>
      <c r="GN10" s="168">
        <v>654437</v>
      </c>
      <c r="GO10" s="168">
        <v>382137</v>
      </c>
      <c r="GP10" s="168">
        <v>476332</v>
      </c>
      <c r="GQ10" s="21"/>
      <c r="GR10" s="21"/>
      <c r="GS10" s="21"/>
      <c r="GT10" s="21"/>
      <c r="GU10" s="168">
        <v>44300</v>
      </c>
      <c r="GV10" s="168">
        <v>4966</v>
      </c>
      <c r="GW10" s="168">
        <v>37186</v>
      </c>
      <c r="GX10" s="168">
        <v>16264</v>
      </c>
      <c r="GY10" s="168">
        <v>30895327</v>
      </c>
      <c r="GZ10" s="168">
        <v>32756264</v>
      </c>
      <c r="HA10" s="168">
        <v>-50299</v>
      </c>
      <c r="HB10" s="168">
        <v>67134</v>
      </c>
      <c r="HC10" s="168">
        <v>2642267</v>
      </c>
      <c r="HD10" s="168">
        <v>2725190</v>
      </c>
      <c r="HE10" s="168">
        <v>83547</v>
      </c>
      <c r="HF10" s="168">
        <v>8944</v>
      </c>
      <c r="HG10" s="168">
        <v>31066</v>
      </c>
      <c r="HH10" s="168">
        <v>29546</v>
      </c>
      <c r="HI10" s="168">
        <v>108804</v>
      </c>
      <c r="HJ10" s="168">
        <v>98187</v>
      </c>
      <c r="HK10" s="21"/>
      <c r="HL10" s="21"/>
      <c r="HM10" s="21"/>
      <c r="HN10" s="168">
        <v>6</v>
      </c>
      <c r="HO10" s="168">
        <v>919826</v>
      </c>
      <c r="HP10" s="168">
        <v>983701</v>
      </c>
      <c r="HQ10" s="21"/>
      <c r="HR10" s="21"/>
      <c r="HS10" s="21"/>
      <c r="HT10" s="21"/>
      <c r="HU10" s="168">
        <v>729560</v>
      </c>
      <c r="HV10" s="168">
        <v>760842</v>
      </c>
      <c r="HW10" s="21"/>
      <c r="HX10" s="21"/>
      <c r="HY10" s="168">
        <v>14000</v>
      </c>
      <c r="HZ10" s="168">
        <v>57000</v>
      </c>
      <c r="IA10" s="168">
        <v>3689</v>
      </c>
      <c r="IB10" s="168">
        <v>288</v>
      </c>
      <c r="IC10" s="21"/>
      <c r="ID10" s="21"/>
      <c r="IE10" s="168">
        <v>591831</v>
      </c>
      <c r="IF10" s="168">
        <v>619443</v>
      </c>
      <c r="IG10" s="168">
        <v>119470</v>
      </c>
      <c r="IH10" s="168">
        <v>161071</v>
      </c>
      <c r="II10" s="21"/>
      <c r="IJ10" s="21"/>
      <c r="IK10" s="21"/>
      <c r="IL10" s="21"/>
      <c r="IM10" s="21"/>
      <c r="IN10" s="21"/>
      <c r="IO10" s="168">
        <v>2774</v>
      </c>
      <c r="IP10" s="168">
        <v>1565</v>
      </c>
      <c r="IQ10" s="21"/>
      <c r="IR10" s="21"/>
      <c r="IS10" s="21"/>
      <c r="IT10" s="168">
        <v>172</v>
      </c>
      <c r="IU10" s="168">
        <v>579765</v>
      </c>
      <c r="IV10" s="168">
        <v>717697</v>
      </c>
      <c r="IW10" s="168">
        <v>665394</v>
      </c>
      <c r="IX10" s="168">
        <v>847490</v>
      </c>
      <c r="IY10" s="168">
        <v>-85628</v>
      </c>
      <c r="IZ10" s="168">
        <v>-129792</v>
      </c>
      <c r="JA10" s="168">
        <v>187776</v>
      </c>
      <c r="JB10" s="168">
        <v>90650</v>
      </c>
      <c r="JC10" s="21"/>
      <c r="JD10" s="21"/>
      <c r="JE10" s="168">
        <v>2771227</v>
      </c>
      <c r="JF10" s="168">
        <v>2770453</v>
      </c>
      <c r="JG10" s="21"/>
      <c r="JH10" s="21"/>
      <c r="JI10" s="21"/>
      <c r="JJ10" s="21"/>
      <c r="JK10" s="168">
        <v>119470</v>
      </c>
      <c r="JL10" s="168">
        <v>161077</v>
      </c>
      <c r="JM10" s="168">
        <v>39445051</v>
      </c>
      <c r="JN10" s="168">
        <v>41195362</v>
      </c>
      <c r="JO10" s="168">
        <v>33841</v>
      </c>
      <c r="JP10" s="168">
        <v>31284</v>
      </c>
      <c r="JQ10" s="168">
        <v>325661</v>
      </c>
      <c r="JR10" s="168">
        <v>-185245</v>
      </c>
      <c r="JS10" s="168">
        <v>-3860</v>
      </c>
      <c r="JT10" s="168">
        <v>-299</v>
      </c>
      <c r="JU10" s="21"/>
      <c r="JV10" s="21"/>
      <c r="JW10" s="168">
        <v>39148469</v>
      </c>
      <c r="JX10" s="168">
        <v>41006522</v>
      </c>
      <c r="JY10" s="21"/>
      <c r="JZ10" s="21"/>
      <c r="KA10" s="21"/>
      <c r="KB10" s="21"/>
      <c r="KC10" s="21"/>
      <c r="KD10" s="21"/>
      <c r="KE10" s="168">
        <v>506419</v>
      </c>
      <c r="KF10" s="168">
        <v>638090</v>
      </c>
      <c r="KG10" s="21"/>
      <c r="KH10" s="21"/>
      <c r="KI10" s="168">
        <v>38642050</v>
      </c>
      <c r="KJ10" s="168">
        <v>40368432</v>
      </c>
      <c r="KK10" s="21"/>
      <c r="KL10" s="21"/>
      <c r="KM10" s="21"/>
      <c r="KN10" s="21"/>
      <c r="KO10" s="21"/>
      <c r="KP10" s="21"/>
      <c r="KQ10" s="168">
        <v>99031</v>
      </c>
      <c r="KR10" s="168">
        <v>82816</v>
      </c>
      <c r="KS10" s="21"/>
      <c r="KT10" s="21"/>
      <c r="KU10" s="21"/>
      <c r="KV10" s="21"/>
      <c r="KW10" s="21"/>
      <c r="KX10" s="21"/>
      <c r="KY10" s="21"/>
      <c r="KZ10" s="21"/>
      <c r="LA10" s="168">
        <v>150000</v>
      </c>
      <c r="LB10" s="168">
        <v>150000</v>
      </c>
      <c r="LC10" s="21"/>
      <c r="LD10" s="21"/>
      <c r="LE10" s="168">
        <v>45</v>
      </c>
      <c r="LF10" s="168">
        <v>57</v>
      </c>
      <c r="LG10" s="21"/>
      <c r="LH10" s="21"/>
      <c r="LI10" s="168">
        <v>1111697</v>
      </c>
      <c r="LJ10" s="168">
        <v>1291307</v>
      </c>
      <c r="LK10" s="168">
        <v>2685717</v>
      </c>
      <c r="LL10" s="168">
        <v>3134694</v>
      </c>
      <c r="LM10" s="168">
        <v>560517</v>
      </c>
      <c r="LN10" s="168">
        <v>20902</v>
      </c>
      <c r="LO10" s="21"/>
      <c r="LP10" s="21"/>
      <c r="LQ10" s="21"/>
      <c r="LR10" s="21"/>
      <c r="LS10" s="21"/>
      <c r="LT10" s="21"/>
      <c r="LU10" s="21"/>
      <c r="LV10" s="21"/>
      <c r="LW10" s="21"/>
      <c r="LX10" s="21"/>
      <c r="LY10" s="168">
        <v>1247129</v>
      </c>
      <c r="LZ10" s="168">
        <v>1425291</v>
      </c>
      <c r="MA10" s="168">
        <v>6511391</v>
      </c>
      <c r="MB10" s="168">
        <v>7195608</v>
      </c>
      <c r="MC10" s="168">
        <v>203998</v>
      </c>
      <c r="MD10" s="168">
        <v>226617</v>
      </c>
      <c r="ME10" s="21"/>
      <c r="MF10" s="21"/>
      <c r="MG10" s="21"/>
      <c r="MH10" s="21"/>
      <c r="MI10" s="21"/>
      <c r="MJ10" s="21"/>
      <c r="MK10" s="21"/>
      <c r="ML10" s="21"/>
      <c r="MM10" s="168">
        <v>3166</v>
      </c>
      <c r="MN10" s="168">
        <v>3195</v>
      </c>
      <c r="MO10" s="168">
        <v>260000</v>
      </c>
      <c r="MP10" s="168">
        <v>246000</v>
      </c>
      <c r="MQ10" s="168">
        <v>25000</v>
      </c>
      <c r="MR10" s="168">
        <v>89094</v>
      </c>
      <c r="MS10" s="21"/>
      <c r="MT10" s="21"/>
      <c r="MU10" s="21"/>
      <c r="MV10" s="21"/>
      <c r="MW10" s="21"/>
      <c r="MX10" s="21"/>
      <c r="MY10" s="21"/>
      <c r="MZ10" s="21"/>
      <c r="NA10" s="21"/>
      <c r="NB10" s="21"/>
      <c r="NC10" s="168">
        <v>560254</v>
      </c>
      <c r="ND10" s="168">
        <v>654437</v>
      </c>
      <c r="NE10" s="21"/>
      <c r="NF10" s="21"/>
      <c r="NG10" s="168">
        <v>5410979</v>
      </c>
      <c r="NH10" s="168">
        <v>4850723</v>
      </c>
      <c r="NI10" s="21"/>
      <c r="NJ10" s="21"/>
      <c r="NK10" s="168">
        <v>923</v>
      </c>
      <c r="NL10" s="168">
        <v>912</v>
      </c>
      <c r="NM10" s="168">
        <v>11280120</v>
      </c>
      <c r="NN10" s="168">
        <v>12042527</v>
      </c>
      <c r="NO10" s="168">
        <v>18224152</v>
      </c>
      <c r="NP10" s="168">
        <v>18654548</v>
      </c>
      <c r="NQ10" s="168" t="s">
        <v>1536</v>
      </c>
      <c r="NR10" s="168" t="s">
        <v>823</v>
      </c>
      <c r="NS10" s="168" t="s">
        <v>770</v>
      </c>
      <c r="NT10" s="168" t="s">
        <v>771</v>
      </c>
      <c r="NU10" s="168">
        <v>2801</v>
      </c>
      <c r="NV10" s="168" t="s">
        <v>2104</v>
      </c>
      <c r="NW10" s="168" t="s">
        <v>28</v>
      </c>
      <c r="NX10" s="168" t="s">
        <v>25</v>
      </c>
      <c r="NY10" s="169">
        <v>42916</v>
      </c>
      <c r="NZ10" s="169">
        <v>42551</v>
      </c>
      <c r="OA10" s="169">
        <v>43098</v>
      </c>
      <c r="OB10" s="168" t="s">
        <v>1390</v>
      </c>
      <c r="OC10" s="168">
        <v>12</v>
      </c>
      <c r="OD10" s="168" t="s">
        <v>2106</v>
      </c>
      <c r="OE10" s="168" t="s">
        <v>3243</v>
      </c>
      <c r="OF10" s="168" t="s">
        <v>2512</v>
      </c>
      <c r="OG10" s="168" t="s">
        <v>2001</v>
      </c>
      <c r="OH10" s="168" t="s">
        <v>944</v>
      </c>
      <c r="OI10" s="168" t="s">
        <v>766</v>
      </c>
      <c r="OJ10" s="168" t="s">
        <v>3240</v>
      </c>
      <c r="OK10" s="168" t="s">
        <v>822</v>
      </c>
    </row>
    <row r="11" spans="1:401" x14ac:dyDescent="0.2">
      <c r="A11" s="170" t="str">
        <f>Liste[[#This Row],[Siren]]</f>
        <v>305635039</v>
      </c>
      <c r="B11" s="198" t="str">
        <f>Liste[[#This Row],[Dénomination]]&amp;" - comptes "&amp;YEAR(Liste[[#This Row],[Date de cloture de l''exercice]])</f>
        <v>BASTIDE LE CONFORT MEDICAL - comptes 2017</v>
      </c>
      <c r="C11" s="21"/>
      <c r="D11" s="21"/>
      <c r="E11" s="21"/>
      <c r="F11" s="168">
        <v>14304000</v>
      </c>
      <c r="G11" s="168">
        <v>8623000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168">
        <v>38095000</v>
      </c>
      <c r="BE11" s="168">
        <v>32772000</v>
      </c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168">
        <v>69820000</v>
      </c>
      <c r="EI11" s="168">
        <v>22889000</v>
      </c>
      <c r="EJ11" s="21"/>
      <c r="EK11" s="21"/>
      <c r="EL11" s="168">
        <v>161713000</v>
      </c>
      <c r="EM11" s="168">
        <v>102016000</v>
      </c>
      <c r="EN11" s="21"/>
      <c r="EO11" s="21"/>
      <c r="EP11" s="168">
        <v>96024000</v>
      </c>
      <c r="EQ11" s="168">
        <v>86475000</v>
      </c>
      <c r="ER11" s="21"/>
      <c r="ES11" s="21"/>
      <c r="ET11" s="168">
        <v>257737000</v>
      </c>
      <c r="EU11" s="168">
        <v>188491000</v>
      </c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168">
        <v>5509000</v>
      </c>
      <c r="FL11" s="168">
        <v>7218000</v>
      </c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168">
        <v>8000</v>
      </c>
      <c r="HF11" s="168">
        <v>-203000</v>
      </c>
      <c r="HG11" s="21"/>
      <c r="HH11" s="21"/>
      <c r="HI11" s="168">
        <v>40000</v>
      </c>
      <c r="HJ11" s="168">
        <v>1099000</v>
      </c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168">
        <v>-24483000</v>
      </c>
      <c r="HV11" s="168">
        <v>-21220000</v>
      </c>
      <c r="HW11" s="21"/>
      <c r="HX11" s="21"/>
      <c r="HY11" s="21"/>
      <c r="HZ11" s="21"/>
      <c r="IA11" s="21"/>
      <c r="IB11" s="21"/>
      <c r="IC11" s="21"/>
      <c r="ID11" s="21"/>
      <c r="IE11" s="168">
        <v>-2073000</v>
      </c>
      <c r="IF11" s="168">
        <v>-2007000</v>
      </c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168">
        <v>8139000</v>
      </c>
      <c r="IV11" s="168">
        <v>11742000</v>
      </c>
      <c r="IW11" s="21"/>
      <c r="IX11" s="21"/>
      <c r="IY11" s="21"/>
      <c r="IZ11" s="21"/>
      <c r="JA11" s="21"/>
      <c r="JB11" s="21"/>
      <c r="JC11" s="21"/>
      <c r="JD11" s="21"/>
      <c r="JE11" s="168">
        <v>-56923000</v>
      </c>
      <c r="JF11" s="168">
        <v>-50552000</v>
      </c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168">
        <v>218109000</v>
      </c>
      <c r="JX11" s="168">
        <v>191350000</v>
      </c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168">
        <v>3303000</v>
      </c>
      <c r="LB11" s="168">
        <v>3303000</v>
      </c>
      <c r="LC11" s="21"/>
      <c r="LD11" s="21"/>
      <c r="LE11" s="21"/>
      <c r="LF11" s="21"/>
      <c r="LG11" s="21"/>
      <c r="LH11" s="21"/>
      <c r="LI11" s="21"/>
      <c r="LJ11" s="21"/>
      <c r="LK11" s="168">
        <v>33124000</v>
      </c>
      <c r="LL11" s="168">
        <v>31942000</v>
      </c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168">
        <v>93249000</v>
      </c>
      <c r="MD11" s="168">
        <v>37107000</v>
      </c>
      <c r="ME11" s="168">
        <v>24743000</v>
      </c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21"/>
      <c r="NB11" s="21"/>
      <c r="NC11" s="21"/>
      <c r="ND11" s="21"/>
      <c r="NE11" s="21"/>
      <c r="NF11" s="21"/>
      <c r="NG11" s="168">
        <v>61922000</v>
      </c>
      <c r="NH11" s="168">
        <v>58753000</v>
      </c>
      <c r="NI11" s="21"/>
      <c r="NJ11" s="21"/>
      <c r="NK11" s="168">
        <v>628000</v>
      </c>
      <c r="NL11" s="168">
        <v>467000</v>
      </c>
      <c r="NM11" s="168">
        <v>195184000</v>
      </c>
      <c r="NN11" s="168">
        <v>129271000</v>
      </c>
      <c r="NO11" s="168">
        <v>257737000</v>
      </c>
      <c r="NP11" s="168">
        <v>188491000</v>
      </c>
      <c r="NQ11" s="168" t="s">
        <v>853</v>
      </c>
      <c r="NR11" s="168" t="s">
        <v>854</v>
      </c>
      <c r="NS11" s="168" t="s">
        <v>770</v>
      </c>
      <c r="NT11" s="168" t="s">
        <v>771</v>
      </c>
      <c r="NU11" s="168">
        <v>3003</v>
      </c>
      <c r="NV11" s="168" t="s">
        <v>2104</v>
      </c>
      <c r="NW11" s="168" t="s">
        <v>28</v>
      </c>
      <c r="NX11" s="168" t="s">
        <v>25</v>
      </c>
      <c r="NY11" s="169">
        <v>42916</v>
      </c>
      <c r="NZ11" s="169">
        <v>42551</v>
      </c>
      <c r="OA11" s="169">
        <v>43084</v>
      </c>
      <c r="OB11" s="168" t="s">
        <v>855</v>
      </c>
      <c r="OC11" s="168">
        <v>12</v>
      </c>
      <c r="OD11" s="168" t="s">
        <v>2105</v>
      </c>
      <c r="OE11" s="168" t="s">
        <v>856</v>
      </c>
      <c r="OF11" s="168" t="s">
        <v>2129</v>
      </c>
      <c r="OG11" s="168" t="s">
        <v>1821</v>
      </c>
      <c r="OH11" s="168" t="s">
        <v>794</v>
      </c>
      <c r="OI11" s="168" t="s">
        <v>766</v>
      </c>
      <c r="OJ11" s="168" t="s">
        <v>3240</v>
      </c>
      <c r="OK11" s="168" t="s">
        <v>852</v>
      </c>
    </row>
    <row r="12" spans="1:401" x14ac:dyDescent="0.2">
      <c r="A12" s="170" t="str">
        <f>Liste[[#This Row],[Siren]]</f>
        <v>794310821</v>
      </c>
      <c r="B12" s="198" t="str">
        <f>Liste[[#This Row],[Dénomination]]&amp;" - comptes "&amp;YEAR(Liste[[#This Row],[Date de cloture de l''exercice]])</f>
        <v>NEXEYA INVEST - comptes 2017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168">
        <v>4380000</v>
      </c>
      <c r="S12" s="168">
        <v>3606000</v>
      </c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168">
        <v>53291000</v>
      </c>
      <c r="BE12" s="168">
        <v>51968000</v>
      </c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168">
        <v>15452000</v>
      </c>
      <c r="EI12" s="168">
        <v>15452000</v>
      </c>
      <c r="EJ12" s="21"/>
      <c r="EK12" s="21"/>
      <c r="EL12" s="168">
        <v>35578000</v>
      </c>
      <c r="EM12" s="168">
        <v>30491000</v>
      </c>
      <c r="EN12" s="21"/>
      <c r="EO12" s="21"/>
      <c r="EP12" s="168">
        <v>106507000</v>
      </c>
      <c r="EQ12" s="168">
        <v>91604000</v>
      </c>
      <c r="ER12" s="21"/>
      <c r="ES12" s="21"/>
      <c r="ET12" s="168">
        <v>142085000</v>
      </c>
      <c r="EU12" s="168">
        <v>131878000</v>
      </c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168">
        <v>102000</v>
      </c>
      <c r="FZ12" s="168">
        <v>64000</v>
      </c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168">
        <v>10476000</v>
      </c>
      <c r="GT12" s="168">
        <v>3545000</v>
      </c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168">
        <v>53620000</v>
      </c>
      <c r="HP12" s="168">
        <v>64121000</v>
      </c>
      <c r="HQ12" s="21"/>
      <c r="HR12" s="21"/>
      <c r="HS12" s="21"/>
      <c r="HT12" s="21"/>
      <c r="HU12" s="168">
        <v>2047000</v>
      </c>
      <c r="HV12" s="168">
        <v>2267000</v>
      </c>
      <c r="HW12" s="168">
        <v>2000</v>
      </c>
      <c r="HX12" s="168">
        <v>-19000</v>
      </c>
      <c r="HY12" s="21"/>
      <c r="HZ12" s="21"/>
      <c r="IA12" s="21"/>
      <c r="IB12" s="21"/>
      <c r="IC12" s="21"/>
      <c r="ID12" s="21"/>
      <c r="IE12" s="168">
        <v>1597000</v>
      </c>
      <c r="IF12" s="168">
        <v>1935000</v>
      </c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168">
        <v>7565000</v>
      </c>
      <c r="IV12" s="168">
        <v>8678000</v>
      </c>
      <c r="IW12" s="21"/>
      <c r="IX12" s="21"/>
      <c r="IY12" s="21"/>
      <c r="IZ12" s="21"/>
      <c r="JA12" s="21"/>
      <c r="JB12" s="21"/>
      <c r="JC12" s="21"/>
      <c r="JD12" s="21"/>
      <c r="JE12" s="21"/>
      <c r="JF12" s="21"/>
      <c r="JG12" s="21"/>
      <c r="JH12" s="21"/>
      <c r="JI12" s="21"/>
      <c r="JJ12" s="21"/>
      <c r="JK12" s="21"/>
      <c r="JL12" s="21"/>
      <c r="JM12" s="21"/>
      <c r="JN12" s="21"/>
      <c r="JO12" s="21"/>
      <c r="JP12" s="21"/>
      <c r="JQ12" s="21"/>
      <c r="JR12" s="21"/>
      <c r="JS12" s="21"/>
      <c r="JT12" s="21"/>
      <c r="JU12" s="21"/>
      <c r="JV12" s="21"/>
      <c r="JW12" s="168">
        <v>116554000</v>
      </c>
      <c r="JX12" s="168">
        <v>132616000</v>
      </c>
      <c r="JY12" s="21"/>
      <c r="JZ12" s="21"/>
      <c r="KA12" s="21"/>
      <c r="KB12" s="21"/>
      <c r="KC12" s="21"/>
      <c r="KD12" s="21"/>
      <c r="KE12" s="21"/>
      <c r="KF12" s="21"/>
      <c r="KG12" s="21"/>
      <c r="KH12" s="21"/>
      <c r="KI12" s="21"/>
      <c r="KJ12" s="21"/>
      <c r="KK12" s="21"/>
      <c r="KL12" s="21"/>
      <c r="KM12" s="21"/>
      <c r="KN12" s="21"/>
      <c r="KO12" s="21"/>
      <c r="KP12" s="21"/>
      <c r="KQ12" s="21"/>
      <c r="KR12" s="21"/>
      <c r="KS12" s="21"/>
      <c r="KT12" s="21"/>
      <c r="KU12" s="168">
        <v>8032000</v>
      </c>
      <c r="KV12" s="168">
        <v>2884000</v>
      </c>
      <c r="KW12" s="21"/>
      <c r="KX12" s="21"/>
      <c r="KY12" s="21"/>
      <c r="KZ12" s="21"/>
      <c r="LA12" s="168">
        <v>26097000</v>
      </c>
      <c r="LB12" s="168">
        <v>26097000</v>
      </c>
      <c r="LC12" s="21"/>
      <c r="LD12" s="21"/>
      <c r="LE12" s="21"/>
      <c r="LF12" s="21"/>
      <c r="LG12" s="21"/>
      <c r="LH12" s="21"/>
      <c r="LI12" s="21"/>
      <c r="LJ12" s="21"/>
      <c r="LK12" s="168">
        <v>18124000</v>
      </c>
      <c r="LL12" s="168">
        <v>16208000</v>
      </c>
      <c r="LM12" s="21"/>
      <c r="LN12" s="21"/>
      <c r="LO12" s="21"/>
      <c r="LP12" s="21"/>
      <c r="LQ12" s="21"/>
      <c r="LR12" s="21"/>
      <c r="LS12" s="21"/>
      <c r="LT12" s="21"/>
      <c r="LU12" s="21"/>
      <c r="LV12" s="21"/>
      <c r="LW12" s="21"/>
      <c r="LX12" s="21"/>
      <c r="LY12" s="21"/>
      <c r="LZ12" s="21"/>
      <c r="MA12" s="21"/>
      <c r="MB12" s="21"/>
      <c r="MC12" s="168">
        <v>31249000</v>
      </c>
      <c r="MD12" s="168">
        <v>33191000</v>
      </c>
      <c r="ME12" s="21"/>
      <c r="MF12" s="21"/>
      <c r="MG12" s="168">
        <v>398000</v>
      </c>
      <c r="MH12" s="168">
        <v>448000</v>
      </c>
      <c r="MI12" s="21"/>
      <c r="MJ12" s="21"/>
      <c r="MK12" s="21"/>
      <c r="ML12" s="21"/>
      <c r="MM12" s="21"/>
      <c r="MN12" s="21"/>
      <c r="MO12" s="21"/>
      <c r="MP12" s="21"/>
      <c r="MQ12" s="21"/>
      <c r="MR12" s="21"/>
      <c r="MS12" s="21"/>
      <c r="MT12" s="21"/>
      <c r="MU12" s="21"/>
      <c r="MV12" s="21"/>
      <c r="MW12" s="21"/>
      <c r="MX12" s="21"/>
      <c r="MY12" s="21"/>
      <c r="MZ12" s="21"/>
      <c r="NA12" s="21"/>
      <c r="NB12" s="21"/>
      <c r="NC12" s="168">
        <v>10224000</v>
      </c>
      <c r="ND12" s="168">
        <v>32728000</v>
      </c>
      <c r="NE12" s="21"/>
      <c r="NF12" s="21"/>
      <c r="NG12" s="168">
        <v>44353000</v>
      </c>
      <c r="NH12" s="168">
        <v>32728000</v>
      </c>
      <c r="NI12" s="21"/>
      <c r="NJ12" s="21"/>
      <c r="NK12" s="168">
        <v>364000</v>
      </c>
      <c r="NL12" s="168">
        <v>325000</v>
      </c>
      <c r="NM12" s="168">
        <v>90388000</v>
      </c>
      <c r="NN12" s="168">
        <v>91079000</v>
      </c>
      <c r="NO12" s="168">
        <v>142085000</v>
      </c>
      <c r="NP12" s="168">
        <v>131878000</v>
      </c>
      <c r="NQ12" s="168" t="s">
        <v>1392</v>
      </c>
      <c r="NR12" s="168" t="s">
        <v>769</v>
      </c>
      <c r="NS12" s="168" t="s">
        <v>770</v>
      </c>
      <c r="NT12" s="168" t="s">
        <v>771</v>
      </c>
      <c r="NU12" s="168">
        <v>9201</v>
      </c>
      <c r="NV12" s="168" t="s">
        <v>2104</v>
      </c>
      <c r="NW12" s="168" t="s">
        <v>28</v>
      </c>
      <c r="NX12" s="168" t="s">
        <v>25</v>
      </c>
      <c r="NY12" s="169">
        <v>42916</v>
      </c>
      <c r="NZ12" s="21"/>
      <c r="OA12" s="169">
        <v>43117</v>
      </c>
      <c r="OB12" s="168" t="s">
        <v>3244</v>
      </c>
      <c r="OC12" s="168">
        <v>0</v>
      </c>
      <c r="OD12" s="168" t="s">
        <v>2105</v>
      </c>
      <c r="OE12" s="168" t="s">
        <v>2225</v>
      </c>
      <c r="OF12" s="168" t="s">
        <v>3245</v>
      </c>
      <c r="OG12" s="168" t="s">
        <v>3246</v>
      </c>
      <c r="OH12" s="168" t="s">
        <v>777</v>
      </c>
      <c r="OI12" s="168" t="s">
        <v>766</v>
      </c>
      <c r="OJ12" s="168" t="s">
        <v>3240</v>
      </c>
      <c r="OK12" s="168" t="s">
        <v>767</v>
      </c>
    </row>
    <row r="13" spans="1:401" x14ac:dyDescent="0.2">
      <c r="A13" s="170" t="str">
        <f>Liste[[#This Row],[Siren]]</f>
        <v>513175810</v>
      </c>
      <c r="B13" s="198" t="str">
        <f>Liste[[#This Row],[Dénomination]]&amp;" - comptes "&amp;YEAR(Liste[[#This Row],[Date de cloture de l''exercice]])</f>
        <v>VAL LIMAGNE.COOP - comptes 2017</v>
      </c>
      <c r="C13" s="21"/>
      <c r="D13" s="21"/>
      <c r="E13" s="168">
        <v>711</v>
      </c>
      <c r="F13" s="168">
        <v>3951401</v>
      </c>
      <c r="G13" s="168">
        <v>3707610</v>
      </c>
      <c r="H13" s="168">
        <v>3952112</v>
      </c>
      <c r="I13" s="168">
        <v>2544153</v>
      </c>
      <c r="J13" s="168">
        <v>1497880</v>
      </c>
      <c r="K13" s="168">
        <v>1206392</v>
      </c>
      <c r="L13" s="168">
        <v>4042033</v>
      </c>
      <c r="M13" s="21"/>
      <c r="N13" s="168">
        <v>23733</v>
      </c>
      <c r="O13" s="168">
        <v>19513</v>
      </c>
      <c r="P13" s="168">
        <v>23733</v>
      </c>
      <c r="Q13" s="168">
        <v>39083</v>
      </c>
      <c r="R13" s="168">
        <v>351748</v>
      </c>
      <c r="S13" s="168">
        <v>390259</v>
      </c>
      <c r="T13" s="168">
        <v>390831</v>
      </c>
      <c r="U13" s="21"/>
      <c r="V13" s="21"/>
      <c r="W13" s="21"/>
      <c r="X13" s="21"/>
      <c r="Y13" s="21"/>
      <c r="Z13" s="168">
        <v>45269</v>
      </c>
      <c r="AA13" s="168">
        <v>41028</v>
      </c>
      <c r="AB13" s="168">
        <v>45269</v>
      </c>
      <c r="AC13" s="21"/>
      <c r="AD13" s="21"/>
      <c r="AE13" s="168">
        <v>6185</v>
      </c>
      <c r="AF13" s="21"/>
      <c r="AG13" s="21"/>
      <c r="AH13" s="168">
        <v>901</v>
      </c>
      <c r="AI13" s="21"/>
      <c r="AJ13" s="168">
        <v>901</v>
      </c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168">
        <v>423325</v>
      </c>
      <c r="BA13" s="168">
        <v>366679</v>
      </c>
      <c r="BB13" s="168">
        <v>423325</v>
      </c>
      <c r="BC13" s="168">
        <v>3837344</v>
      </c>
      <c r="BD13" s="168">
        <v>15183451</v>
      </c>
      <c r="BE13" s="168">
        <v>15841346</v>
      </c>
      <c r="BF13" s="168">
        <v>19020795</v>
      </c>
      <c r="BG13" s="168">
        <v>455445</v>
      </c>
      <c r="BH13" s="168">
        <v>90394</v>
      </c>
      <c r="BI13" s="168">
        <v>43151</v>
      </c>
      <c r="BJ13" s="168">
        <v>545839</v>
      </c>
      <c r="BK13" s="168">
        <v>13774339</v>
      </c>
      <c r="BL13" s="168">
        <v>8129048</v>
      </c>
      <c r="BM13" s="168">
        <v>8731656</v>
      </c>
      <c r="BN13" s="168">
        <v>21903387</v>
      </c>
      <c r="BO13" s="21"/>
      <c r="BP13" s="168">
        <v>2082390</v>
      </c>
      <c r="BQ13" s="168">
        <v>2035209</v>
      </c>
      <c r="BR13" s="168">
        <v>2082390</v>
      </c>
      <c r="BS13" s="21"/>
      <c r="BT13" s="21"/>
      <c r="BU13" s="21"/>
      <c r="BV13" s="21"/>
      <c r="BW13" s="21"/>
      <c r="BX13" s="168">
        <v>2815382</v>
      </c>
      <c r="BY13" s="168">
        <v>2421435</v>
      </c>
      <c r="BZ13" s="168">
        <v>2815382</v>
      </c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168">
        <v>147306</v>
      </c>
      <c r="CQ13" s="168">
        <v>1154262</v>
      </c>
      <c r="CR13" s="168">
        <v>1087073</v>
      </c>
      <c r="CS13" s="168">
        <v>1301568</v>
      </c>
      <c r="CT13" s="21"/>
      <c r="CU13" s="21"/>
      <c r="CV13" s="21"/>
      <c r="CW13" s="21"/>
      <c r="CX13" s="21"/>
      <c r="CY13" s="21"/>
      <c r="CZ13" s="21"/>
      <c r="DA13" s="21"/>
      <c r="DB13" s="168">
        <v>19575</v>
      </c>
      <c r="DC13" s="168">
        <v>1956942</v>
      </c>
      <c r="DD13" s="168">
        <v>348359</v>
      </c>
      <c r="DE13" s="168">
        <v>1976517</v>
      </c>
      <c r="DF13" s="168">
        <v>6880111</v>
      </c>
      <c r="DG13" s="168">
        <v>3885612</v>
      </c>
      <c r="DH13" s="168">
        <v>3681393</v>
      </c>
      <c r="DI13" s="168">
        <v>10765723</v>
      </c>
      <c r="DJ13" s="168">
        <v>272989</v>
      </c>
      <c r="DK13" s="168">
        <v>11777401</v>
      </c>
      <c r="DL13" s="168">
        <v>12128207</v>
      </c>
      <c r="DM13" s="168">
        <v>12050390</v>
      </c>
      <c r="DN13" s="21"/>
      <c r="DO13" s="168">
        <v>550728</v>
      </c>
      <c r="DP13" s="168">
        <v>498855</v>
      </c>
      <c r="DQ13" s="168">
        <v>550728</v>
      </c>
      <c r="DR13" s="21"/>
      <c r="DS13" s="168">
        <v>550881</v>
      </c>
      <c r="DT13" s="168">
        <v>758995</v>
      </c>
      <c r="DU13" s="168">
        <v>550881</v>
      </c>
      <c r="DV13" s="21"/>
      <c r="DW13" s="168">
        <v>3211</v>
      </c>
      <c r="DX13" s="168">
        <v>5358</v>
      </c>
      <c r="DY13" s="168">
        <v>3211</v>
      </c>
      <c r="DZ13" s="21"/>
      <c r="EA13" s="21"/>
      <c r="EB13" s="21"/>
      <c r="EC13" s="21"/>
      <c r="ED13" s="168">
        <v>441678</v>
      </c>
      <c r="EE13" s="168">
        <v>452684</v>
      </c>
      <c r="EF13" s="168">
        <v>441678</v>
      </c>
      <c r="EG13" s="21"/>
      <c r="EH13" s="21"/>
      <c r="EI13" s="21"/>
      <c r="EJ13" s="21"/>
      <c r="EK13" s="168">
        <v>24677202</v>
      </c>
      <c r="EL13" s="168">
        <v>21458768</v>
      </c>
      <c r="EM13" s="168">
        <v>20063918</v>
      </c>
      <c r="EN13" s="168">
        <v>46135970</v>
      </c>
      <c r="EO13" s="168">
        <v>4111044</v>
      </c>
      <c r="EP13" s="168">
        <v>35153353</v>
      </c>
      <c r="EQ13" s="168">
        <v>35426803</v>
      </c>
      <c r="ER13" s="168">
        <v>39264397</v>
      </c>
      <c r="ES13" s="168">
        <v>28788246</v>
      </c>
      <c r="ET13" s="168">
        <v>56612121</v>
      </c>
      <c r="EU13" s="168">
        <v>55490724</v>
      </c>
      <c r="EV13" s="168">
        <v>85400367</v>
      </c>
      <c r="EW13" s="168">
        <v>817190</v>
      </c>
      <c r="EX13" s="168">
        <v>1686497</v>
      </c>
      <c r="EY13" s="168">
        <v>1709347</v>
      </c>
      <c r="EZ13" s="168">
        <v>2503687</v>
      </c>
      <c r="FA13" s="21"/>
      <c r="FB13" s="21"/>
      <c r="FC13" s="21"/>
      <c r="FD13" s="21"/>
      <c r="FE13" s="21"/>
      <c r="FF13" s="168">
        <v>9987</v>
      </c>
      <c r="FG13" s="168">
        <v>9987</v>
      </c>
      <c r="FH13" s="168">
        <v>9987</v>
      </c>
      <c r="FI13" s="168">
        <v>177242</v>
      </c>
      <c r="FJ13" s="168">
        <v>497720</v>
      </c>
      <c r="FK13" s="21"/>
      <c r="FL13" s="21"/>
      <c r="FM13" s="168">
        <v>35943</v>
      </c>
      <c r="FN13" s="168">
        <v>63687</v>
      </c>
      <c r="FO13" s="168">
        <v>177646</v>
      </c>
      <c r="FP13" s="168">
        <v>175149</v>
      </c>
      <c r="FQ13" s="21"/>
      <c r="FR13" s="168">
        <v>26310</v>
      </c>
      <c r="FS13" s="168">
        <v>35734</v>
      </c>
      <c r="FT13" s="168">
        <v>32155</v>
      </c>
      <c r="FU13" s="168">
        <v>1711</v>
      </c>
      <c r="FV13" s="168">
        <v>8471</v>
      </c>
      <c r="FW13" s="168">
        <v>128037</v>
      </c>
      <c r="FX13" s="168">
        <v>134552</v>
      </c>
      <c r="FY13" s="168">
        <v>1881</v>
      </c>
      <c r="FZ13" s="168">
        <v>22331</v>
      </c>
      <c r="GA13" s="21"/>
      <c r="GB13" s="21"/>
      <c r="GC13" s="168">
        <v>26301</v>
      </c>
      <c r="GD13" s="168">
        <v>22341</v>
      </c>
      <c r="GE13" s="168">
        <v>244620</v>
      </c>
      <c r="GF13" s="168">
        <v>664254</v>
      </c>
      <c r="GG13" s="21"/>
      <c r="GH13" s="21"/>
      <c r="GI13" s="21"/>
      <c r="GJ13" s="21"/>
      <c r="GK13" s="168">
        <v>155644</v>
      </c>
      <c r="GL13" s="168">
        <v>82116</v>
      </c>
      <c r="GM13" s="168">
        <v>1410981</v>
      </c>
      <c r="GN13" s="168">
        <v>1768002</v>
      </c>
      <c r="GO13" s="168">
        <v>1410981</v>
      </c>
      <c r="GP13" s="168">
        <v>1794313</v>
      </c>
      <c r="GQ13" s="21"/>
      <c r="GR13" s="21"/>
      <c r="GS13" s="168">
        <v>1409100</v>
      </c>
      <c r="GT13" s="168">
        <v>1745671</v>
      </c>
      <c r="GU13" s="168">
        <v>249323</v>
      </c>
      <c r="GV13" s="168">
        <v>270991</v>
      </c>
      <c r="GW13" s="168">
        <v>426565</v>
      </c>
      <c r="GX13" s="168">
        <v>768711</v>
      </c>
      <c r="GY13" s="168">
        <v>60511900</v>
      </c>
      <c r="GZ13" s="168">
        <v>61770183</v>
      </c>
      <c r="HA13" s="168">
        <v>12837540</v>
      </c>
      <c r="HB13" s="168">
        <v>12287912</v>
      </c>
      <c r="HC13" s="168">
        <v>8032314</v>
      </c>
      <c r="HD13" s="168">
        <v>7007677</v>
      </c>
      <c r="HE13" s="168">
        <v>147573</v>
      </c>
      <c r="HF13" s="168">
        <v>260651</v>
      </c>
      <c r="HG13" s="168">
        <v>346129</v>
      </c>
      <c r="HH13" s="168">
        <v>425532</v>
      </c>
      <c r="HI13" s="168">
        <v>66680</v>
      </c>
      <c r="HJ13" s="168">
        <v>88878</v>
      </c>
      <c r="HK13" s="168">
        <v>413</v>
      </c>
      <c r="HL13" s="168">
        <v>366</v>
      </c>
      <c r="HM13" s="21"/>
      <c r="HN13" s="21"/>
      <c r="HO13" s="168">
        <v>1783325</v>
      </c>
      <c r="HP13" s="168">
        <v>1631288</v>
      </c>
      <c r="HQ13" s="21"/>
      <c r="HR13" s="21"/>
      <c r="HS13" s="21"/>
      <c r="HT13" s="21"/>
      <c r="HU13" s="168">
        <v>1840608</v>
      </c>
      <c r="HV13" s="168">
        <v>1625976</v>
      </c>
      <c r="HW13" s="168">
        <v>3493</v>
      </c>
      <c r="HX13" s="168">
        <v>3493</v>
      </c>
      <c r="HY13" s="168">
        <v>117292</v>
      </c>
      <c r="HZ13" s="168">
        <v>152599</v>
      </c>
      <c r="IA13" s="168">
        <v>388461</v>
      </c>
      <c r="IB13" s="168">
        <v>1023466</v>
      </c>
      <c r="IC13" s="168">
        <v>13335</v>
      </c>
      <c r="ID13" s="168">
        <v>11639</v>
      </c>
      <c r="IE13" s="168">
        <v>648253</v>
      </c>
      <c r="IF13" s="168">
        <v>577477</v>
      </c>
      <c r="IG13" s="168">
        <v>405296</v>
      </c>
      <c r="IH13" s="168">
        <v>396920</v>
      </c>
      <c r="II13" s="21"/>
      <c r="IJ13" s="21"/>
      <c r="IK13" s="168">
        <v>3500</v>
      </c>
      <c r="IL13" s="168">
        <v>7609</v>
      </c>
      <c r="IM13" s="168">
        <v>-18403</v>
      </c>
      <c r="IN13" s="168">
        <v>20179</v>
      </c>
      <c r="IO13" s="168">
        <v>4259</v>
      </c>
      <c r="IP13" s="168">
        <v>6434</v>
      </c>
      <c r="IQ13" s="168">
        <v>57445</v>
      </c>
      <c r="IR13" s="168">
        <v>51258</v>
      </c>
      <c r="IS13" s="21"/>
      <c r="IT13" s="21"/>
      <c r="IU13" s="168">
        <v>1363487</v>
      </c>
      <c r="IV13" s="168">
        <v>1439616</v>
      </c>
      <c r="IW13" s="168">
        <v>1357463</v>
      </c>
      <c r="IX13" s="168">
        <v>1326391</v>
      </c>
      <c r="IY13" s="168">
        <v>5611</v>
      </c>
      <c r="IZ13" s="168">
        <v>112859</v>
      </c>
      <c r="JA13" s="168">
        <v>1615226</v>
      </c>
      <c r="JB13" s="168">
        <v>657787</v>
      </c>
      <c r="JC13" s="168">
        <v>16398</v>
      </c>
      <c r="JD13" s="168">
        <v>38193</v>
      </c>
      <c r="JE13" s="168">
        <v>4838153</v>
      </c>
      <c r="JF13" s="168">
        <v>4503829</v>
      </c>
      <c r="JG13" s="168">
        <v>34841</v>
      </c>
      <c r="JH13" s="168">
        <v>4483</v>
      </c>
      <c r="JI13" s="168">
        <v>91581401</v>
      </c>
      <c r="JJ13" s="168">
        <v>89801677</v>
      </c>
      <c r="JK13" s="168">
        <v>418620</v>
      </c>
      <c r="JL13" s="168">
        <v>408560</v>
      </c>
      <c r="JM13" s="168">
        <v>92938864</v>
      </c>
      <c r="JN13" s="168">
        <v>91128068</v>
      </c>
      <c r="JO13" s="168">
        <v>424231</v>
      </c>
      <c r="JP13" s="168">
        <v>521419</v>
      </c>
      <c r="JQ13" s="168">
        <v>453258</v>
      </c>
      <c r="JR13" s="168">
        <v>-1150596</v>
      </c>
      <c r="JS13" s="168">
        <v>-20769</v>
      </c>
      <c r="JT13" s="168">
        <v>107722</v>
      </c>
      <c r="JU13" s="168">
        <v>10476341</v>
      </c>
      <c r="JV13" s="168">
        <v>80760679</v>
      </c>
      <c r="JW13" s="168">
        <v>91237020</v>
      </c>
      <c r="JX13" s="168">
        <v>90349132</v>
      </c>
      <c r="JY13" s="168">
        <v>2398</v>
      </c>
      <c r="JZ13" s="168">
        <v>19034218</v>
      </c>
      <c r="KA13" s="168">
        <v>19036616</v>
      </c>
      <c r="KB13" s="168">
        <v>18424371</v>
      </c>
      <c r="KC13" s="21"/>
      <c r="KD13" s="168">
        <v>1822082</v>
      </c>
      <c r="KE13" s="168">
        <v>1822082</v>
      </c>
      <c r="KF13" s="168">
        <v>1913264</v>
      </c>
      <c r="KG13" s="168">
        <v>10473943</v>
      </c>
      <c r="KH13" s="168">
        <v>59904379</v>
      </c>
      <c r="KI13" s="168">
        <v>70378322</v>
      </c>
      <c r="KJ13" s="168">
        <v>70011497</v>
      </c>
      <c r="KK13" s="21"/>
      <c r="KL13" s="21"/>
      <c r="KM13" s="21"/>
      <c r="KN13" s="21"/>
      <c r="KO13" s="21"/>
      <c r="KP13" s="21"/>
      <c r="KQ13" s="168">
        <v>6212103</v>
      </c>
      <c r="KR13" s="168">
        <v>6242701</v>
      </c>
      <c r="KS13" s="21"/>
      <c r="KT13" s="21"/>
      <c r="KU13" s="168">
        <v>14688888</v>
      </c>
      <c r="KV13" s="168">
        <v>14159118</v>
      </c>
      <c r="KW13" s="21"/>
      <c r="KX13" s="21"/>
      <c r="KY13" s="21"/>
      <c r="KZ13" s="168">
        <v>7785</v>
      </c>
      <c r="LA13" s="168">
        <v>1415183</v>
      </c>
      <c r="LB13" s="168">
        <v>1422466</v>
      </c>
      <c r="LC13" s="21"/>
      <c r="LD13" s="21"/>
      <c r="LE13" s="168">
        <v>1881</v>
      </c>
      <c r="LF13" s="168">
        <v>22331</v>
      </c>
      <c r="LG13" s="21"/>
      <c r="LH13" s="21"/>
      <c r="LI13" s="168">
        <v>2288223</v>
      </c>
      <c r="LJ13" s="168">
        <v>2074114</v>
      </c>
      <c r="LK13" s="168">
        <v>4953003</v>
      </c>
      <c r="LL13" s="168">
        <v>5826347</v>
      </c>
      <c r="LM13" s="168">
        <v>444716</v>
      </c>
      <c r="LN13" s="168">
        <v>196610</v>
      </c>
      <c r="LO13" s="21"/>
      <c r="LP13" s="21"/>
      <c r="LQ13" s="21"/>
      <c r="LR13" s="21"/>
      <c r="LS13" s="21"/>
      <c r="LT13" s="21"/>
      <c r="LU13" s="21"/>
      <c r="LV13" s="21"/>
      <c r="LW13" s="21"/>
      <c r="LX13" s="21"/>
      <c r="LY13" s="21"/>
      <c r="LZ13" s="21"/>
      <c r="MA13" s="168">
        <v>16458051</v>
      </c>
      <c r="MB13" s="168">
        <v>15187308</v>
      </c>
      <c r="MC13" s="168">
        <v>903145</v>
      </c>
      <c r="MD13" s="168">
        <v>978883</v>
      </c>
      <c r="ME13" s="21"/>
      <c r="MF13" s="21"/>
      <c r="MG13" s="21"/>
      <c r="MH13" s="168">
        <v>260</v>
      </c>
      <c r="MI13" s="21"/>
      <c r="MJ13" s="21"/>
      <c r="MK13" s="21"/>
      <c r="ML13" s="21"/>
      <c r="MM13" s="168">
        <v>869209</v>
      </c>
      <c r="MN13" s="168">
        <v>1071438</v>
      </c>
      <c r="MO13" s="168">
        <v>1837251</v>
      </c>
      <c r="MP13" s="168">
        <v>1797478</v>
      </c>
      <c r="MQ13" s="168">
        <v>93477</v>
      </c>
      <c r="MR13" s="168">
        <v>240155</v>
      </c>
      <c r="MS13" s="21"/>
      <c r="MT13" s="21"/>
      <c r="MU13" s="21"/>
      <c r="MV13" s="21"/>
      <c r="MW13" s="168">
        <v>1461710</v>
      </c>
      <c r="MX13" s="168">
        <v>1461710</v>
      </c>
      <c r="MY13" s="168">
        <v>2808173</v>
      </c>
      <c r="MZ13" s="168">
        <v>2794089</v>
      </c>
      <c r="NA13" s="21"/>
      <c r="NB13" s="21"/>
      <c r="NC13" s="168">
        <v>1409100</v>
      </c>
      <c r="ND13" s="168">
        <v>1745671</v>
      </c>
      <c r="NE13" s="21"/>
      <c r="NF13" s="21"/>
      <c r="NG13" s="168">
        <v>22336950</v>
      </c>
      <c r="NH13" s="168">
        <v>21653519</v>
      </c>
      <c r="NI13" s="21"/>
      <c r="NJ13" s="21"/>
      <c r="NK13" s="168">
        <v>216004</v>
      </c>
      <c r="NL13" s="168">
        <v>214125</v>
      </c>
      <c r="NM13" s="168">
        <v>32128450</v>
      </c>
      <c r="NN13" s="168">
        <v>31585186</v>
      </c>
      <c r="NO13" s="168">
        <v>56612121</v>
      </c>
      <c r="NP13" s="168">
        <v>55490724</v>
      </c>
      <c r="NQ13" s="168" t="s">
        <v>3247</v>
      </c>
      <c r="NR13" s="168" t="s">
        <v>775</v>
      </c>
      <c r="NS13" s="168" t="s">
        <v>770</v>
      </c>
      <c r="NT13" s="168" t="s">
        <v>771</v>
      </c>
      <c r="NU13" s="168">
        <v>301</v>
      </c>
      <c r="NV13" s="168" t="s">
        <v>2104</v>
      </c>
      <c r="NW13" s="168" t="s">
        <v>28</v>
      </c>
      <c r="NX13" s="168" t="s">
        <v>25</v>
      </c>
      <c r="NY13" s="169">
        <v>42916</v>
      </c>
      <c r="NZ13" s="169">
        <v>42551</v>
      </c>
      <c r="OA13" s="169">
        <v>43110</v>
      </c>
      <c r="OB13" s="168" t="s">
        <v>1091</v>
      </c>
      <c r="OC13" s="168">
        <v>12</v>
      </c>
      <c r="OD13" s="168" t="s">
        <v>2105</v>
      </c>
      <c r="OE13" s="168" t="s">
        <v>2124</v>
      </c>
      <c r="OF13" s="168" t="s">
        <v>2284</v>
      </c>
      <c r="OG13" s="168" t="s">
        <v>1875</v>
      </c>
      <c r="OH13" s="168" t="s">
        <v>990</v>
      </c>
      <c r="OI13" s="168" t="s">
        <v>766</v>
      </c>
      <c r="OJ13" s="168" t="s">
        <v>3240</v>
      </c>
      <c r="OK13" s="168" t="s">
        <v>773</v>
      </c>
    </row>
    <row r="14" spans="1:401" x14ac:dyDescent="0.2">
      <c r="A14" s="170" t="str">
        <f>Liste[[#This Row],[Siren]]</f>
        <v>320366503</v>
      </c>
      <c r="B14" s="198" t="str">
        <f>Liste[[#This Row],[Dénomination]]&amp;" - comptes "&amp;YEAR(Liste[[#This Row],[Date de cloture de l''exercice]])</f>
        <v>ASSE GROUPE - comptes 2017</v>
      </c>
      <c r="C14" s="21"/>
      <c r="D14" s="21"/>
      <c r="E14" s="21"/>
      <c r="F14" s="168">
        <v>2283408</v>
      </c>
      <c r="G14" s="168">
        <v>2471953</v>
      </c>
      <c r="H14" s="168">
        <v>2283408</v>
      </c>
      <c r="I14" s="168">
        <v>1282879</v>
      </c>
      <c r="J14" s="168">
        <v>1142539</v>
      </c>
      <c r="K14" s="168">
        <v>1198054</v>
      </c>
      <c r="L14" s="168">
        <v>2425418</v>
      </c>
      <c r="M14" s="21"/>
      <c r="N14" s="168">
        <v>11092</v>
      </c>
      <c r="O14" s="168">
        <v>11342</v>
      </c>
      <c r="P14" s="168">
        <v>11092</v>
      </c>
      <c r="Q14" s="168">
        <v>27414864</v>
      </c>
      <c r="R14" s="168">
        <v>12385097</v>
      </c>
      <c r="S14" s="168">
        <v>15613312</v>
      </c>
      <c r="T14" s="168">
        <v>39799961</v>
      </c>
      <c r="U14" s="21"/>
      <c r="V14" s="21"/>
      <c r="W14" s="21"/>
      <c r="X14" s="21"/>
      <c r="Y14" s="21"/>
      <c r="Z14" s="168">
        <v>15</v>
      </c>
      <c r="AA14" s="168">
        <v>15</v>
      </c>
      <c r="AB14" s="168">
        <v>15</v>
      </c>
      <c r="AC14" s="21"/>
      <c r="AD14" s="21"/>
      <c r="AE14" s="21"/>
      <c r="AF14" s="21"/>
      <c r="AG14" s="21"/>
      <c r="AH14" s="21"/>
      <c r="AI14" s="21"/>
      <c r="AJ14" s="21"/>
      <c r="AK14" s="21"/>
      <c r="AL14" s="168">
        <v>70361</v>
      </c>
      <c r="AM14" s="168">
        <v>37142</v>
      </c>
      <c r="AN14" s="168">
        <v>70361</v>
      </c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168">
        <v>216735</v>
      </c>
      <c r="BA14" s="168">
        <v>407127</v>
      </c>
      <c r="BB14" s="168">
        <v>216735</v>
      </c>
      <c r="BC14" s="168">
        <v>539783</v>
      </c>
      <c r="BD14" s="168">
        <v>6875222</v>
      </c>
      <c r="BE14" s="168">
        <v>8815276</v>
      </c>
      <c r="BF14" s="168">
        <v>7415005</v>
      </c>
      <c r="BG14" s="168">
        <v>265209</v>
      </c>
      <c r="BH14" s="21"/>
      <c r="BI14" s="168">
        <v>1679</v>
      </c>
      <c r="BJ14" s="168">
        <v>265209</v>
      </c>
      <c r="BK14" s="168">
        <v>3212000</v>
      </c>
      <c r="BL14" s="168">
        <v>6905672</v>
      </c>
      <c r="BM14" s="168">
        <v>7250099</v>
      </c>
      <c r="BN14" s="168">
        <v>10117672</v>
      </c>
      <c r="BO14" s="21"/>
      <c r="BP14" s="21"/>
      <c r="BQ14" s="21"/>
      <c r="BR14" s="21"/>
      <c r="BS14" s="21"/>
      <c r="BT14" s="21"/>
      <c r="BU14" s="21"/>
      <c r="BV14" s="21"/>
      <c r="BW14" s="21"/>
      <c r="BX14" s="168">
        <v>16942448</v>
      </c>
      <c r="BY14" s="168">
        <v>17102058</v>
      </c>
      <c r="BZ14" s="168">
        <v>16942448</v>
      </c>
      <c r="CA14" s="21"/>
      <c r="CB14" s="21"/>
      <c r="CC14" s="21"/>
      <c r="CD14" s="168">
        <v>2865950</v>
      </c>
      <c r="CE14" s="168">
        <v>360454</v>
      </c>
      <c r="CF14" s="21"/>
      <c r="CG14" s="168">
        <v>3226404</v>
      </c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168">
        <v>328772</v>
      </c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168">
        <v>1232541</v>
      </c>
      <c r="DG14" s="168">
        <v>253507</v>
      </c>
      <c r="DH14" s="168">
        <v>345870</v>
      </c>
      <c r="DI14" s="168">
        <v>1486048</v>
      </c>
      <c r="DJ14" s="21"/>
      <c r="DK14" s="168">
        <v>529551</v>
      </c>
      <c r="DL14" s="168">
        <v>534339</v>
      </c>
      <c r="DM14" s="168">
        <v>529551</v>
      </c>
      <c r="DN14" s="21"/>
      <c r="DO14" s="21"/>
      <c r="DP14" s="21"/>
      <c r="DQ14" s="21"/>
      <c r="DR14" s="168">
        <v>1500</v>
      </c>
      <c r="DS14" s="21"/>
      <c r="DT14" s="21"/>
      <c r="DU14" s="168">
        <v>1500</v>
      </c>
      <c r="DV14" s="21"/>
      <c r="DW14" s="168">
        <v>677108</v>
      </c>
      <c r="DX14" s="168">
        <v>669072</v>
      </c>
      <c r="DY14" s="168">
        <v>677108</v>
      </c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168">
        <v>36274943</v>
      </c>
      <c r="EL14" s="168">
        <v>22576759</v>
      </c>
      <c r="EM14" s="168">
        <v>26259490</v>
      </c>
      <c r="EN14" s="168">
        <v>58851702</v>
      </c>
      <c r="EO14" s="168">
        <v>539783</v>
      </c>
      <c r="EP14" s="168">
        <v>26917726</v>
      </c>
      <c r="EQ14" s="168">
        <v>29367894</v>
      </c>
      <c r="ER14" s="168">
        <v>27457509</v>
      </c>
      <c r="ES14" s="168">
        <v>36814726</v>
      </c>
      <c r="ET14" s="168">
        <v>49494480</v>
      </c>
      <c r="EU14" s="168">
        <v>55627382</v>
      </c>
      <c r="EV14" s="168">
        <v>86309206</v>
      </c>
      <c r="EW14" s="21"/>
      <c r="EX14" s="168">
        <v>841275</v>
      </c>
      <c r="EY14" s="168">
        <v>841275</v>
      </c>
      <c r="EZ14" s="168">
        <v>841275</v>
      </c>
      <c r="FA14" s="21"/>
      <c r="FB14" s="21"/>
      <c r="FC14" s="21"/>
      <c r="FD14" s="21"/>
      <c r="FE14" s="21"/>
      <c r="FF14" s="21"/>
      <c r="FG14" s="21"/>
      <c r="FH14" s="21"/>
      <c r="FI14" s="168">
        <v>-2427429</v>
      </c>
      <c r="FJ14" s="168">
        <v>-2699551</v>
      </c>
      <c r="FK14" s="21"/>
      <c r="FL14" s="21"/>
      <c r="FM14" s="168">
        <v>992252</v>
      </c>
      <c r="FN14" s="168">
        <v>1316489</v>
      </c>
      <c r="FO14" s="168">
        <v>9471</v>
      </c>
      <c r="FP14" s="21"/>
      <c r="FQ14" s="168">
        <v>18842</v>
      </c>
      <c r="FR14" s="21"/>
      <c r="FS14" s="168">
        <v>2812472</v>
      </c>
      <c r="FT14" s="168">
        <v>2675023</v>
      </c>
      <c r="FU14" s="168">
        <v>-83624</v>
      </c>
      <c r="FV14" s="168">
        <v>70037</v>
      </c>
      <c r="FW14" s="168">
        <v>511440</v>
      </c>
      <c r="FX14" s="168">
        <v>274935</v>
      </c>
      <c r="FY14" s="168">
        <v>228776</v>
      </c>
      <c r="FZ14" s="168">
        <v>275155</v>
      </c>
      <c r="GA14" s="21"/>
      <c r="GB14" s="21"/>
      <c r="GC14" s="168">
        <v>619886</v>
      </c>
      <c r="GD14" s="168">
        <v>984505</v>
      </c>
      <c r="GE14" s="21"/>
      <c r="GF14" s="168">
        <v>4060</v>
      </c>
      <c r="GG14" s="21"/>
      <c r="GH14" s="21"/>
      <c r="GI14" s="21"/>
      <c r="GJ14" s="21"/>
      <c r="GK14" s="168">
        <v>766880</v>
      </c>
      <c r="GL14" s="168">
        <v>303396</v>
      </c>
      <c r="GM14" s="168">
        <v>1509344</v>
      </c>
      <c r="GN14" s="168">
        <v>1190728</v>
      </c>
      <c r="GO14" s="168">
        <v>1528186</v>
      </c>
      <c r="GP14" s="168">
        <v>1190731</v>
      </c>
      <c r="GQ14" s="21"/>
      <c r="GR14" s="21"/>
      <c r="GS14" s="168">
        <v>1280568</v>
      </c>
      <c r="GT14" s="168">
        <v>915573</v>
      </c>
      <c r="GU14" s="168">
        <v>3814195</v>
      </c>
      <c r="GV14" s="168">
        <v>3991512</v>
      </c>
      <c r="GW14" s="168">
        <v>1386766</v>
      </c>
      <c r="GX14" s="168">
        <v>1291961</v>
      </c>
      <c r="GY14" s="168">
        <v>1955828</v>
      </c>
      <c r="GZ14" s="168">
        <v>2931616</v>
      </c>
      <c r="HA14" s="168">
        <v>82575</v>
      </c>
      <c r="HB14" s="168">
        <v>78765</v>
      </c>
      <c r="HC14" s="168">
        <v>15921381</v>
      </c>
      <c r="HD14" s="168">
        <v>15968846</v>
      </c>
      <c r="HE14" s="168">
        <v>2993979</v>
      </c>
      <c r="HF14" s="168">
        <v>603703</v>
      </c>
      <c r="HG14" s="168">
        <v>19201</v>
      </c>
      <c r="HH14" s="168">
        <v>7357</v>
      </c>
      <c r="HI14" s="168">
        <v>19757908</v>
      </c>
      <c r="HJ14" s="168">
        <v>28531755</v>
      </c>
      <c r="HK14" s="21"/>
      <c r="HL14" s="21"/>
      <c r="HM14" s="168">
        <v>879</v>
      </c>
      <c r="HN14" s="21"/>
      <c r="HO14" s="168">
        <v>11807544</v>
      </c>
      <c r="HP14" s="168">
        <v>12088450</v>
      </c>
      <c r="HQ14" s="21"/>
      <c r="HR14" s="21"/>
      <c r="HS14" s="21"/>
      <c r="HT14" s="21"/>
      <c r="HU14" s="168">
        <v>7685808</v>
      </c>
      <c r="HV14" s="168">
        <v>10734137</v>
      </c>
      <c r="HW14" s="21"/>
      <c r="HX14" s="21"/>
      <c r="HY14" s="168">
        <v>20872</v>
      </c>
      <c r="HZ14" s="168">
        <v>149439</v>
      </c>
      <c r="IA14" s="168">
        <v>14150</v>
      </c>
      <c r="IB14" s="168">
        <v>221920</v>
      </c>
      <c r="IC14" s="21"/>
      <c r="ID14" s="21"/>
      <c r="IE14" s="168">
        <v>2186723</v>
      </c>
      <c r="IF14" s="168">
        <v>2062692</v>
      </c>
      <c r="IG14" s="168">
        <v>340646</v>
      </c>
      <c r="IH14" s="168">
        <v>368187</v>
      </c>
      <c r="II14" s="21"/>
      <c r="IJ14" s="21"/>
      <c r="IK14" s="21"/>
      <c r="IL14" s="21"/>
      <c r="IM14" s="21"/>
      <c r="IN14" s="21"/>
      <c r="IO14" s="21"/>
      <c r="IP14" s="168">
        <v>1837</v>
      </c>
      <c r="IQ14" s="21"/>
      <c r="IR14" s="21"/>
      <c r="IS14" s="21"/>
      <c r="IT14" s="21"/>
      <c r="IU14" s="168">
        <v>4383431</v>
      </c>
      <c r="IV14" s="168">
        <v>4235254</v>
      </c>
      <c r="IW14" s="168">
        <v>4705753</v>
      </c>
      <c r="IX14" s="168">
        <v>4594242</v>
      </c>
      <c r="IY14" s="168">
        <v>-322322</v>
      </c>
      <c r="IZ14" s="168">
        <v>-358988</v>
      </c>
      <c r="JA14" s="168">
        <v>2054509</v>
      </c>
      <c r="JB14" s="168">
        <v>1410277</v>
      </c>
      <c r="JC14" s="21"/>
      <c r="JD14" s="21"/>
      <c r="JE14" s="168">
        <v>35567425</v>
      </c>
      <c r="JF14" s="168">
        <v>36382603</v>
      </c>
      <c r="JG14" s="168">
        <v>536755</v>
      </c>
      <c r="JH14" s="168">
        <v>541356</v>
      </c>
      <c r="JI14" s="168">
        <v>78258406</v>
      </c>
      <c r="JJ14" s="168">
        <v>81201775</v>
      </c>
      <c r="JK14" s="168">
        <v>341523</v>
      </c>
      <c r="JL14" s="168">
        <v>368186</v>
      </c>
      <c r="JM14" s="168">
        <v>82964159</v>
      </c>
      <c r="JN14" s="168">
        <v>85796017</v>
      </c>
      <c r="JO14" s="168">
        <v>19201</v>
      </c>
      <c r="JP14" s="168">
        <v>9198</v>
      </c>
      <c r="JQ14" s="168">
        <v>22121</v>
      </c>
      <c r="JR14" s="168">
        <v>-20396</v>
      </c>
      <c r="JS14" s="21"/>
      <c r="JT14" s="21"/>
      <c r="JU14" s="21"/>
      <c r="JV14" s="21"/>
      <c r="JW14" s="168">
        <v>60614987</v>
      </c>
      <c r="JX14" s="168">
        <v>55312629</v>
      </c>
      <c r="JY14" s="21"/>
      <c r="JZ14" s="21"/>
      <c r="KA14" s="21"/>
      <c r="KB14" s="21"/>
      <c r="KC14" s="21"/>
      <c r="KD14" s="21"/>
      <c r="KE14" s="168">
        <v>57096691</v>
      </c>
      <c r="KF14" s="168">
        <v>49993265</v>
      </c>
      <c r="KG14" s="21"/>
      <c r="KH14" s="21"/>
      <c r="KI14" s="168">
        <v>3518296</v>
      </c>
      <c r="KJ14" s="168">
        <v>5319364</v>
      </c>
      <c r="KK14" s="21"/>
      <c r="KL14" s="21"/>
      <c r="KM14" s="21"/>
      <c r="KN14" s="21"/>
      <c r="KO14" s="21"/>
      <c r="KP14" s="21"/>
      <c r="KQ14" s="168">
        <v>989223</v>
      </c>
      <c r="KR14" s="168">
        <v>1001942</v>
      </c>
      <c r="KS14" s="21"/>
      <c r="KT14" s="21"/>
      <c r="KU14" s="168">
        <v>4040208</v>
      </c>
      <c r="KV14" s="168">
        <v>3541322</v>
      </c>
      <c r="KW14" s="21"/>
      <c r="KX14" s="21"/>
      <c r="KY14" s="168">
        <v>4351</v>
      </c>
      <c r="KZ14" s="168">
        <v>192535</v>
      </c>
      <c r="LA14" s="168">
        <v>2305648</v>
      </c>
      <c r="LB14" s="168">
        <v>2305648</v>
      </c>
      <c r="LC14" s="21"/>
      <c r="LD14" s="21"/>
      <c r="LE14" s="168">
        <v>228776</v>
      </c>
      <c r="LF14" s="168">
        <v>275155</v>
      </c>
      <c r="LG14" s="21"/>
      <c r="LH14" s="21"/>
      <c r="LI14" s="168">
        <v>12685994</v>
      </c>
      <c r="LJ14" s="168">
        <v>15008354</v>
      </c>
      <c r="LK14" s="168">
        <v>7666914</v>
      </c>
      <c r="LL14" s="168">
        <v>7043638</v>
      </c>
      <c r="LM14" s="168">
        <v>5726452</v>
      </c>
      <c r="LN14" s="168">
        <v>9595737</v>
      </c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168">
        <v>7822264</v>
      </c>
      <c r="MB14" s="168">
        <v>8322168</v>
      </c>
      <c r="MC14" s="168">
        <v>65020</v>
      </c>
      <c r="MD14" s="168">
        <v>46429</v>
      </c>
      <c r="ME14" s="21"/>
      <c r="MF14" s="21"/>
      <c r="MG14" s="21"/>
      <c r="MH14" s="21"/>
      <c r="MI14" s="168">
        <v>1219336</v>
      </c>
      <c r="MJ14" s="168">
        <v>1219336</v>
      </c>
      <c r="MK14" s="21"/>
      <c r="ML14" s="21"/>
      <c r="MM14" s="168">
        <v>1109098</v>
      </c>
      <c r="MN14" s="168">
        <v>1030527</v>
      </c>
      <c r="MO14" s="168">
        <v>341723</v>
      </c>
      <c r="MP14" s="168">
        <v>306577</v>
      </c>
      <c r="MQ14" s="168">
        <v>1122594</v>
      </c>
      <c r="MR14" s="168">
        <v>1889474</v>
      </c>
      <c r="MS14" s="21"/>
      <c r="MT14" s="21"/>
      <c r="MU14" s="168">
        <v>1328489</v>
      </c>
      <c r="MV14" s="168">
        <v>1335222</v>
      </c>
      <c r="MW14" s="168">
        <v>172516</v>
      </c>
      <c r="MX14" s="168">
        <v>151818</v>
      </c>
      <c r="MY14" s="168">
        <v>42171</v>
      </c>
      <c r="MZ14" s="168">
        <v>42171</v>
      </c>
      <c r="NA14" s="21"/>
      <c r="NB14" s="21"/>
      <c r="NC14" s="168">
        <v>1280568</v>
      </c>
      <c r="ND14" s="168">
        <v>915573</v>
      </c>
      <c r="NE14" s="21"/>
      <c r="NF14" s="21"/>
      <c r="NG14" s="168">
        <v>10388936</v>
      </c>
      <c r="NH14" s="168">
        <v>9511090</v>
      </c>
      <c r="NI14" s="21"/>
      <c r="NJ14" s="21"/>
      <c r="NK14" s="168">
        <v>1571909</v>
      </c>
      <c r="NL14" s="168">
        <v>1678906</v>
      </c>
      <c r="NM14" s="168">
        <v>36069316</v>
      </c>
      <c r="NN14" s="168">
        <v>42241330</v>
      </c>
      <c r="NO14" s="168">
        <v>49494480</v>
      </c>
      <c r="NP14" s="168">
        <v>55627382</v>
      </c>
      <c r="NQ14" s="168" t="s">
        <v>836</v>
      </c>
      <c r="NR14" s="168" t="s">
        <v>769</v>
      </c>
      <c r="NS14" s="168" t="s">
        <v>770</v>
      </c>
      <c r="NT14" s="168" t="s">
        <v>771</v>
      </c>
      <c r="NU14" s="168">
        <v>7501</v>
      </c>
      <c r="NV14" s="168" t="s">
        <v>2104</v>
      </c>
      <c r="NW14" s="168" t="s">
        <v>28</v>
      </c>
      <c r="NX14" s="168" t="s">
        <v>25</v>
      </c>
      <c r="NY14" s="169">
        <v>42916</v>
      </c>
      <c r="NZ14" s="169">
        <v>42551</v>
      </c>
      <c r="OA14" s="169">
        <v>43126</v>
      </c>
      <c r="OB14" s="168" t="s">
        <v>1056</v>
      </c>
      <c r="OC14" s="168">
        <v>12</v>
      </c>
      <c r="OD14" s="168" t="s">
        <v>2105</v>
      </c>
      <c r="OE14" s="168" t="s">
        <v>2373</v>
      </c>
      <c r="OF14" s="168" t="s">
        <v>2252</v>
      </c>
      <c r="OG14" s="168" t="s">
        <v>1861</v>
      </c>
      <c r="OH14" s="168" t="s">
        <v>765</v>
      </c>
      <c r="OI14" s="168" t="s">
        <v>766</v>
      </c>
      <c r="OJ14" s="168" t="s">
        <v>3240</v>
      </c>
      <c r="OK14" s="168" t="s">
        <v>767</v>
      </c>
    </row>
    <row r="15" spans="1:401" x14ac:dyDescent="0.2">
      <c r="A15" s="170" t="str">
        <f>Liste[[#This Row],[Siren]]</f>
        <v>803075696</v>
      </c>
      <c r="B15" s="198" t="str">
        <f>Liste[[#This Row],[Dénomination]]&amp;" - comptes "&amp;YEAR(Liste[[#This Row],[Date de cloture de l''exercice]])</f>
        <v>UNISEL - comptes 2017</v>
      </c>
      <c r="C15" s="21"/>
      <c r="D15" s="21"/>
      <c r="E15" s="21"/>
      <c r="F15" s="168">
        <v>18554000</v>
      </c>
      <c r="G15" s="168">
        <v>18568000</v>
      </c>
      <c r="H15" s="21"/>
      <c r="I15" s="21"/>
      <c r="J15" s="168">
        <v>228815000</v>
      </c>
      <c r="K15" s="168">
        <v>227044000</v>
      </c>
      <c r="L15" s="21"/>
      <c r="M15" s="21"/>
      <c r="N15" s="168">
        <v>2975000</v>
      </c>
      <c r="O15" s="168">
        <v>3172000</v>
      </c>
      <c r="P15" s="21"/>
      <c r="Q15" s="21"/>
      <c r="R15" s="168">
        <v>745000</v>
      </c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168">
        <v>41540000</v>
      </c>
      <c r="BE15" s="168">
        <v>38272000</v>
      </c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168">
        <v>39150000</v>
      </c>
      <c r="BY15" s="168">
        <v>33755000</v>
      </c>
      <c r="BZ15" s="21"/>
      <c r="CA15" s="21"/>
      <c r="CB15" s="21"/>
      <c r="CC15" s="21"/>
      <c r="CD15" s="21"/>
      <c r="CE15" s="168">
        <v>2473000</v>
      </c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168">
        <v>235008000</v>
      </c>
      <c r="EM15" s="168">
        <v>231339000</v>
      </c>
      <c r="EN15" s="21"/>
      <c r="EO15" s="21"/>
      <c r="EP15" s="168">
        <v>178016000</v>
      </c>
      <c r="EQ15" s="168">
        <v>170605000</v>
      </c>
      <c r="ER15" s="21"/>
      <c r="ES15" s="21"/>
      <c r="ET15" s="168">
        <v>413024000</v>
      </c>
      <c r="EU15" s="168">
        <v>40194400</v>
      </c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168">
        <v>-153000</v>
      </c>
      <c r="FR15" s="21"/>
      <c r="FS15" s="21"/>
      <c r="FT15" s="21"/>
      <c r="FU15" s="21"/>
      <c r="FV15" s="21"/>
      <c r="FW15" s="168">
        <v>3356000</v>
      </c>
      <c r="FX15" s="168">
        <v>-459000</v>
      </c>
      <c r="FY15" s="168">
        <v>2394000</v>
      </c>
      <c r="FZ15" s="168">
        <v>2843000</v>
      </c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168">
        <v>21871000</v>
      </c>
      <c r="GN15" s="168">
        <v>8032000</v>
      </c>
      <c r="GO15" s="168">
        <v>22024000</v>
      </c>
      <c r="GP15" s="168">
        <v>8032000</v>
      </c>
      <c r="GQ15" s="21"/>
      <c r="GR15" s="21"/>
      <c r="GS15" s="168">
        <v>19477000</v>
      </c>
      <c r="GT15" s="168">
        <v>5189000</v>
      </c>
      <c r="GU15" s="21"/>
      <c r="GV15" s="21"/>
      <c r="GW15" s="21"/>
      <c r="GX15" s="21"/>
      <c r="GY15" s="21"/>
      <c r="GZ15" s="21"/>
      <c r="HA15" s="21"/>
      <c r="HB15" s="21"/>
      <c r="HC15" s="168">
        <v>107999000</v>
      </c>
      <c r="HD15" s="168">
        <v>101662000</v>
      </c>
      <c r="HE15" s="168">
        <v>700000</v>
      </c>
      <c r="HF15" s="168">
        <v>830000</v>
      </c>
      <c r="HG15" s="21"/>
      <c r="HH15" s="21"/>
      <c r="HI15" s="168">
        <v>3520000</v>
      </c>
      <c r="HJ15" s="168">
        <v>6771000</v>
      </c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168">
        <v>4011000</v>
      </c>
      <c r="IF15" s="168">
        <v>4066000</v>
      </c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168">
        <v>19093000</v>
      </c>
      <c r="IV15" s="168">
        <v>14926000</v>
      </c>
      <c r="IW15" s="168">
        <v>32864000</v>
      </c>
      <c r="IX15" s="168">
        <v>28487000</v>
      </c>
      <c r="IY15" s="168">
        <v>-13772000</v>
      </c>
      <c r="IZ15" s="168">
        <v>-13561000</v>
      </c>
      <c r="JA15" s="21"/>
      <c r="JB15" s="21"/>
      <c r="JC15" s="21"/>
      <c r="JD15" s="21"/>
      <c r="JE15" s="168">
        <v>58594000</v>
      </c>
      <c r="JF15" s="168">
        <v>58774000</v>
      </c>
      <c r="JG15" s="21"/>
      <c r="JH15" s="21"/>
      <c r="JI15" s="168">
        <v>222115000</v>
      </c>
      <c r="JJ15" s="168">
        <v>211565000</v>
      </c>
      <c r="JK15" s="168">
        <v>14647000</v>
      </c>
      <c r="JL15" s="168">
        <v>14424000</v>
      </c>
      <c r="JM15" s="168">
        <v>254979000</v>
      </c>
      <c r="JN15" s="168">
        <v>240052000</v>
      </c>
      <c r="JO15" s="168">
        <v>876000</v>
      </c>
      <c r="JP15" s="168">
        <v>863000</v>
      </c>
      <c r="JQ15" s="21"/>
      <c r="JR15" s="21"/>
      <c r="JS15" s="21"/>
      <c r="JT15" s="21"/>
      <c r="JU15" s="21"/>
      <c r="JV15" s="21"/>
      <c r="JW15" s="168">
        <v>251460000</v>
      </c>
      <c r="JX15" s="168">
        <v>233281000</v>
      </c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168">
        <v>25204000</v>
      </c>
      <c r="KR15" s="168">
        <v>26643000</v>
      </c>
      <c r="KS15" s="21"/>
      <c r="KT15" s="21"/>
      <c r="KU15" s="21"/>
      <c r="KV15" s="21"/>
      <c r="KW15" s="21"/>
      <c r="KX15" s="21"/>
      <c r="KY15" s="21"/>
      <c r="KZ15" s="21"/>
      <c r="LA15" s="168">
        <v>70000000</v>
      </c>
      <c r="LB15" s="168">
        <v>70000000</v>
      </c>
      <c r="LC15" s="21"/>
      <c r="LD15" s="21"/>
      <c r="LE15" s="21"/>
      <c r="LF15" s="21"/>
      <c r="LG15" s="21"/>
      <c r="LH15" s="21"/>
      <c r="LI15" s="21"/>
      <c r="LJ15" s="21"/>
      <c r="LK15" s="168">
        <v>35609000</v>
      </c>
      <c r="LL15" s="168">
        <v>32037000</v>
      </c>
      <c r="LM15" s="21"/>
      <c r="LN15" s="21"/>
      <c r="LO15" s="21"/>
      <c r="LP15" s="21"/>
      <c r="LQ15" s="21"/>
      <c r="LR15" s="21"/>
      <c r="LS15" s="21"/>
      <c r="LT15" s="21"/>
      <c r="LU15" s="168">
        <v>-1455000</v>
      </c>
      <c r="LV15" s="168">
        <v>-527000</v>
      </c>
      <c r="LW15" s="21"/>
      <c r="LX15" s="21"/>
      <c r="LY15" s="21"/>
      <c r="LZ15" s="21"/>
      <c r="MA15" s="21"/>
      <c r="MB15" s="21"/>
      <c r="MC15" s="168">
        <v>173672000</v>
      </c>
      <c r="MD15" s="168">
        <v>170730000</v>
      </c>
      <c r="ME15" s="21"/>
      <c r="MF15" s="21"/>
      <c r="MG15" s="168">
        <v>38744000</v>
      </c>
      <c r="MH15" s="168">
        <v>46390000</v>
      </c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168">
        <v>19477000</v>
      </c>
      <c r="ND15" s="168">
        <v>5189000</v>
      </c>
      <c r="NE15" s="21"/>
      <c r="NF15" s="21"/>
      <c r="NG15" s="168">
        <v>100745000</v>
      </c>
      <c r="NH15" s="168">
        <v>82218000</v>
      </c>
      <c r="NI15" s="21"/>
      <c r="NJ15" s="21"/>
      <c r="NK15" s="168">
        <v>5607000</v>
      </c>
      <c r="NL15" s="168">
        <v>10487000</v>
      </c>
      <c r="NM15" s="168">
        <v>242962000</v>
      </c>
      <c r="NN15" s="168">
        <v>236672000</v>
      </c>
      <c r="NO15" s="168">
        <v>413024000</v>
      </c>
      <c r="NP15" s="168">
        <v>401944000</v>
      </c>
      <c r="NQ15" s="168" t="s">
        <v>780</v>
      </c>
      <c r="NR15" s="168" t="s">
        <v>769</v>
      </c>
      <c r="NS15" s="168" t="s">
        <v>770</v>
      </c>
      <c r="NT15" s="168" t="s">
        <v>771</v>
      </c>
      <c r="NU15" s="168">
        <v>9201</v>
      </c>
      <c r="NV15" s="168" t="s">
        <v>2104</v>
      </c>
      <c r="NW15" s="168" t="s">
        <v>28</v>
      </c>
      <c r="NX15" s="168" t="s">
        <v>25</v>
      </c>
      <c r="NY15" s="169">
        <v>42916</v>
      </c>
      <c r="NZ15" s="169">
        <v>42551</v>
      </c>
      <c r="OA15" s="169">
        <v>43090</v>
      </c>
      <c r="OB15" s="168" t="s">
        <v>1193</v>
      </c>
      <c r="OC15" s="168">
        <v>12</v>
      </c>
      <c r="OD15" s="168" t="s">
        <v>2105</v>
      </c>
      <c r="OE15" s="168" t="s">
        <v>3248</v>
      </c>
      <c r="OF15" s="168" t="s">
        <v>2360</v>
      </c>
      <c r="OG15" s="168" t="s">
        <v>1916</v>
      </c>
      <c r="OH15" s="168" t="s">
        <v>777</v>
      </c>
      <c r="OI15" s="168" t="s">
        <v>766</v>
      </c>
      <c r="OJ15" s="168" t="s">
        <v>3240</v>
      </c>
      <c r="OK15" s="168" t="s">
        <v>767</v>
      </c>
    </row>
    <row r="16" spans="1:401" x14ac:dyDescent="0.2">
      <c r="A16" s="170" t="str">
        <f>Liste[[#This Row],[Siren]]</f>
        <v>334076056</v>
      </c>
      <c r="B16" s="198" t="str">
        <f>Liste[[#This Row],[Dénomination]]&amp;" - comptes "&amp;YEAR(Liste[[#This Row],[Date de cloture de l''exercice]])</f>
        <v>SILOS SOUFFLET - comptes 2017</v>
      </c>
      <c r="C16" s="21"/>
      <c r="D16" s="21"/>
      <c r="E16" s="21"/>
      <c r="F16" s="168">
        <v>14755000</v>
      </c>
      <c r="G16" s="168">
        <v>13523000</v>
      </c>
      <c r="H16" s="21"/>
      <c r="I16" s="21"/>
      <c r="J16" s="168">
        <v>1316000</v>
      </c>
      <c r="K16" s="168">
        <v>22560000</v>
      </c>
      <c r="L16" s="21"/>
      <c r="M16" s="21"/>
      <c r="N16" s="168">
        <v>52570000</v>
      </c>
      <c r="O16" s="168">
        <v>52623000</v>
      </c>
      <c r="P16" s="21"/>
      <c r="Q16" s="21"/>
      <c r="R16" s="168">
        <v>4000</v>
      </c>
      <c r="S16" s="168">
        <v>222000</v>
      </c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168">
        <v>2797000</v>
      </c>
      <c r="BE16" s="168">
        <v>9930000</v>
      </c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168">
        <v>260000</v>
      </c>
      <c r="BY16" s="168">
        <v>2082000</v>
      </c>
      <c r="BZ16" s="21"/>
      <c r="CA16" s="21"/>
      <c r="CB16" s="21"/>
      <c r="CC16" s="21"/>
      <c r="CD16" s="21"/>
      <c r="CE16" s="21"/>
      <c r="CF16" s="168">
        <v>180000</v>
      </c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168">
        <v>55348000</v>
      </c>
      <c r="EM16" s="168">
        <v>77009000</v>
      </c>
      <c r="EN16" s="21"/>
      <c r="EO16" s="21"/>
      <c r="EP16" s="168">
        <v>17812000</v>
      </c>
      <c r="EQ16" s="168">
        <v>31239000</v>
      </c>
      <c r="ER16" s="21"/>
      <c r="ES16" s="21"/>
      <c r="ET16" s="168">
        <v>73160000</v>
      </c>
      <c r="EU16" s="168">
        <v>108248000</v>
      </c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168">
        <v>-3679000</v>
      </c>
      <c r="FJ16" s="168">
        <v>-11875000</v>
      </c>
      <c r="FK16" s="21"/>
      <c r="FL16" s="21"/>
      <c r="FM16" s="21"/>
      <c r="FN16" s="21"/>
      <c r="FO16" s="21"/>
      <c r="FP16" s="21"/>
      <c r="FQ16" s="21"/>
      <c r="FR16" s="168">
        <v>312000</v>
      </c>
      <c r="FS16" s="21"/>
      <c r="FT16" s="21"/>
      <c r="FU16" s="21"/>
      <c r="FV16" s="21"/>
      <c r="FW16" s="168">
        <v>-373000</v>
      </c>
      <c r="FX16" s="168">
        <v>-775000</v>
      </c>
      <c r="FY16" s="168">
        <v>-836000</v>
      </c>
      <c r="FZ16" s="168">
        <v>2431000</v>
      </c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168">
        <v>214000</v>
      </c>
      <c r="GN16" s="168">
        <v>-11072000</v>
      </c>
      <c r="GO16" s="168">
        <v>179000</v>
      </c>
      <c r="GP16" s="168">
        <v>-10789000</v>
      </c>
      <c r="GQ16" s="168">
        <v>35000</v>
      </c>
      <c r="GR16" s="168">
        <v>29000</v>
      </c>
      <c r="GS16" s="168">
        <v>-622000</v>
      </c>
      <c r="GT16" s="168">
        <v>-8641000</v>
      </c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168">
        <v>1363000</v>
      </c>
      <c r="HF16" s="168">
        <v>1569000</v>
      </c>
      <c r="HG16" s="21"/>
      <c r="HH16" s="21"/>
      <c r="HI16" s="168">
        <v>193000</v>
      </c>
      <c r="HJ16" s="168">
        <v>1431000</v>
      </c>
      <c r="HK16" s="21"/>
      <c r="HL16" s="21"/>
      <c r="HM16" s="21"/>
      <c r="HN16" s="21"/>
      <c r="HO16" s="168">
        <v>13359000</v>
      </c>
      <c r="HP16" s="168">
        <v>14426000</v>
      </c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168">
        <v>641000</v>
      </c>
      <c r="IF16" s="168">
        <v>1023000</v>
      </c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168">
        <v>4231000</v>
      </c>
      <c r="IV16" s="168">
        <v>1861000</v>
      </c>
      <c r="IW16" s="168">
        <v>3807000</v>
      </c>
      <c r="IX16" s="168">
        <v>1543000</v>
      </c>
      <c r="IY16" s="168">
        <v>424000</v>
      </c>
      <c r="IZ16" s="168">
        <v>318000</v>
      </c>
      <c r="JA16" s="21"/>
      <c r="JB16" s="21"/>
      <c r="JC16" s="21"/>
      <c r="JD16" s="21"/>
      <c r="JE16" s="21"/>
      <c r="JF16" s="21"/>
      <c r="JG16" s="21"/>
      <c r="JH16" s="21"/>
      <c r="JI16" s="168">
        <v>135792000</v>
      </c>
      <c r="JJ16" s="168">
        <v>124632000</v>
      </c>
      <c r="JK16" s="21"/>
      <c r="JL16" s="21"/>
      <c r="JM16" s="168">
        <v>139599000</v>
      </c>
      <c r="JN16" s="168">
        <v>126175000</v>
      </c>
      <c r="JO16" s="21"/>
      <c r="JP16" s="21"/>
      <c r="JQ16" s="21"/>
      <c r="JR16" s="21"/>
      <c r="JS16" s="21"/>
      <c r="JT16" s="21"/>
      <c r="JU16" s="21"/>
      <c r="JV16" s="21"/>
      <c r="JW16" s="168">
        <v>139406000</v>
      </c>
      <c r="JX16" s="168">
        <v>124744000</v>
      </c>
      <c r="JY16" s="21"/>
      <c r="JZ16" s="21"/>
      <c r="KA16" s="21"/>
      <c r="KB16" s="21"/>
      <c r="KC16" s="21"/>
      <c r="KD16" s="21"/>
      <c r="KE16" s="21"/>
      <c r="KF16" s="21"/>
      <c r="KG16" s="21"/>
      <c r="KH16" s="21"/>
      <c r="KI16" s="21"/>
      <c r="KJ16" s="21"/>
      <c r="KK16" s="21"/>
      <c r="KL16" s="21"/>
      <c r="KM16" s="21"/>
      <c r="KN16" s="21"/>
      <c r="KO16" s="21"/>
      <c r="KP16" s="21"/>
      <c r="KQ16" s="21"/>
      <c r="KR16" s="21"/>
      <c r="KS16" s="21"/>
      <c r="KT16" s="21"/>
      <c r="KU16" s="21"/>
      <c r="KV16" s="21"/>
      <c r="KW16" s="21"/>
      <c r="KX16" s="21"/>
      <c r="KY16" s="21"/>
      <c r="KZ16" s="21"/>
      <c r="LA16" s="168">
        <v>8806000</v>
      </c>
      <c r="LB16" s="168">
        <v>8806000</v>
      </c>
      <c r="LC16" s="21"/>
      <c r="LD16" s="21"/>
      <c r="LE16" s="21"/>
      <c r="LF16" s="21"/>
      <c r="LG16" s="21"/>
      <c r="LH16" s="21"/>
      <c r="LI16" s="21"/>
      <c r="LJ16" s="21"/>
      <c r="LK16" s="168">
        <v>1248000</v>
      </c>
      <c r="LL16" s="168">
        <v>11111000</v>
      </c>
      <c r="LM16" s="21"/>
      <c r="LN16" s="21"/>
      <c r="LO16" s="21"/>
      <c r="LP16" s="21"/>
      <c r="LQ16" s="21"/>
      <c r="LR16" s="21"/>
      <c r="LS16" s="21"/>
      <c r="LT16" s="21"/>
      <c r="LU16" s="21"/>
      <c r="LV16" s="21"/>
      <c r="LW16" s="21"/>
      <c r="LX16" s="21"/>
      <c r="LY16" s="21"/>
      <c r="LZ16" s="21"/>
      <c r="MA16" s="21"/>
      <c r="MB16" s="21"/>
      <c r="MC16" s="168">
        <v>14586000</v>
      </c>
      <c r="MD16" s="168">
        <v>20059000</v>
      </c>
      <c r="ME16" s="21"/>
      <c r="MF16" s="21"/>
      <c r="MG16" s="21"/>
      <c r="MH16" s="21"/>
      <c r="MI16" s="168">
        <v>24759000</v>
      </c>
      <c r="MJ16" s="168">
        <v>24759000</v>
      </c>
      <c r="MK16" s="21"/>
      <c r="ML16" s="21"/>
      <c r="MM16" s="21"/>
      <c r="MN16" s="21"/>
      <c r="MO16" s="21"/>
      <c r="MP16" s="21"/>
      <c r="MQ16" s="21"/>
      <c r="MR16" s="21"/>
      <c r="MS16" s="21"/>
      <c r="MT16" s="21"/>
      <c r="MU16" s="21"/>
      <c r="MV16" s="21"/>
      <c r="MW16" s="21"/>
      <c r="MX16" s="21"/>
      <c r="MY16" s="21"/>
      <c r="MZ16" s="21"/>
      <c r="NA16" s="21"/>
      <c r="NB16" s="21"/>
      <c r="NC16" s="21"/>
      <c r="ND16" s="21"/>
      <c r="NE16" s="21"/>
      <c r="NF16" s="21"/>
      <c r="NG16" s="168">
        <v>43768000</v>
      </c>
      <c r="NH16" s="168">
        <v>44389000</v>
      </c>
      <c r="NI16" s="21"/>
      <c r="NJ16" s="21"/>
      <c r="NK16" s="168">
        <v>3534000</v>
      </c>
      <c r="NL16" s="168">
        <v>3727000</v>
      </c>
      <c r="NM16" s="168">
        <v>19128000</v>
      </c>
      <c r="NN16" s="168">
        <v>36471000</v>
      </c>
      <c r="NO16" s="168">
        <v>73160000</v>
      </c>
      <c r="NP16" s="168">
        <v>108248000</v>
      </c>
      <c r="NQ16" s="168" t="s">
        <v>1085</v>
      </c>
      <c r="NR16" s="168" t="s">
        <v>769</v>
      </c>
      <c r="NS16" s="168" t="s">
        <v>770</v>
      </c>
      <c r="NT16" s="168" t="s">
        <v>771</v>
      </c>
      <c r="NU16" s="168">
        <v>1001</v>
      </c>
      <c r="NV16" s="168" t="s">
        <v>2104</v>
      </c>
      <c r="NW16" s="168" t="s">
        <v>28</v>
      </c>
      <c r="NX16" s="168" t="s">
        <v>25</v>
      </c>
      <c r="NY16" s="169">
        <v>42916</v>
      </c>
      <c r="NZ16" s="169">
        <v>42551</v>
      </c>
      <c r="OA16" s="169">
        <v>43088</v>
      </c>
      <c r="OB16" s="168" t="s">
        <v>1143</v>
      </c>
      <c r="OC16" s="168">
        <v>12</v>
      </c>
      <c r="OD16" s="168" t="s">
        <v>2105</v>
      </c>
      <c r="OE16" s="168" t="s">
        <v>2259</v>
      </c>
      <c r="OF16" s="168" t="s">
        <v>2330</v>
      </c>
      <c r="OG16" s="168" t="s">
        <v>1900</v>
      </c>
      <c r="OH16" s="168" t="s">
        <v>1053</v>
      </c>
      <c r="OI16" s="168" t="s">
        <v>766</v>
      </c>
      <c r="OJ16" s="168" t="s">
        <v>3240</v>
      </c>
      <c r="OK16" s="168" t="s">
        <v>767</v>
      </c>
    </row>
    <row r="17" spans="1:401" x14ac:dyDescent="0.2">
      <c r="A17" s="170" t="str">
        <f>Liste[[#This Row],[Siren]]</f>
        <v>538697525</v>
      </c>
      <c r="B17" s="198" t="str">
        <f>Liste[[#This Row],[Dénomination]]&amp;" - comptes "&amp;YEAR(Liste[[#This Row],[Date de cloture de l''exercice]])</f>
        <v>GROUPE PARMENTIER CONSTRUCTIONS - comptes 2017</v>
      </c>
      <c r="C17" s="21"/>
      <c r="D17" s="21"/>
      <c r="E17" s="21"/>
      <c r="F17" s="168">
        <v>1743808</v>
      </c>
      <c r="G17" s="168">
        <v>887283</v>
      </c>
      <c r="H17" s="168">
        <v>1743808</v>
      </c>
      <c r="I17" s="168">
        <v>1249211</v>
      </c>
      <c r="J17" s="168">
        <v>384114</v>
      </c>
      <c r="K17" s="168">
        <v>266374</v>
      </c>
      <c r="L17" s="168">
        <v>1633325</v>
      </c>
      <c r="M17" s="168">
        <v>46500</v>
      </c>
      <c r="N17" s="168">
        <v>204684</v>
      </c>
      <c r="O17" s="168">
        <v>193419</v>
      </c>
      <c r="P17" s="168">
        <v>251184</v>
      </c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168">
        <v>53281</v>
      </c>
      <c r="BA17" s="168">
        <v>59541</v>
      </c>
      <c r="BB17" s="168">
        <v>53281</v>
      </c>
      <c r="BC17" s="168">
        <v>230892</v>
      </c>
      <c r="BD17" s="168">
        <v>1987451</v>
      </c>
      <c r="BE17" s="168">
        <v>2409950</v>
      </c>
      <c r="BF17" s="168">
        <v>2218343</v>
      </c>
      <c r="BG17" s="168">
        <v>146115</v>
      </c>
      <c r="BH17" s="168">
        <v>12369</v>
      </c>
      <c r="BI17" s="168">
        <v>19226</v>
      </c>
      <c r="BJ17" s="168">
        <v>158484</v>
      </c>
      <c r="BK17" s="168">
        <v>509347</v>
      </c>
      <c r="BL17" s="168">
        <v>77529</v>
      </c>
      <c r="BM17" s="168">
        <v>133077</v>
      </c>
      <c r="BN17" s="168">
        <v>586876</v>
      </c>
      <c r="BO17" s="21"/>
      <c r="BP17" s="21"/>
      <c r="BQ17" s="21"/>
      <c r="BR17" s="21"/>
      <c r="BS17" s="21"/>
      <c r="BT17" s="21"/>
      <c r="BU17" s="21"/>
      <c r="BV17" s="21"/>
      <c r="BW17" s="21"/>
      <c r="BX17" s="168">
        <v>3405759</v>
      </c>
      <c r="BY17" s="168">
        <v>4117651</v>
      </c>
      <c r="BZ17" s="168">
        <v>3405759</v>
      </c>
      <c r="CA17" s="21"/>
      <c r="CB17" s="21"/>
      <c r="CC17" s="21"/>
      <c r="CD17" s="168">
        <v>101400</v>
      </c>
      <c r="CE17" s="21"/>
      <c r="CF17" s="21"/>
      <c r="CG17" s="168">
        <v>101400</v>
      </c>
      <c r="CH17" s="21"/>
      <c r="CI17" s="21"/>
      <c r="CJ17" s="21"/>
      <c r="CK17" s="21"/>
      <c r="CL17" s="21"/>
      <c r="CM17" s="21"/>
      <c r="CN17" s="21"/>
      <c r="CO17" s="21"/>
      <c r="CP17" s="168">
        <v>149630</v>
      </c>
      <c r="CQ17" s="168">
        <v>18445</v>
      </c>
      <c r="CR17" s="168">
        <v>25452</v>
      </c>
      <c r="CS17" s="168">
        <v>168075</v>
      </c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168">
        <v>2491485</v>
      </c>
      <c r="DG17" s="168">
        <v>129487</v>
      </c>
      <c r="DH17" s="168">
        <v>139625</v>
      </c>
      <c r="DI17" s="168">
        <v>2620972</v>
      </c>
      <c r="DJ17" s="21"/>
      <c r="DK17" s="21"/>
      <c r="DL17" s="21"/>
      <c r="DM17" s="21"/>
      <c r="DN17" s="21"/>
      <c r="DO17" s="168">
        <v>747655</v>
      </c>
      <c r="DP17" s="168">
        <v>721555</v>
      </c>
      <c r="DQ17" s="168">
        <v>747655</v>
      </c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168">
        <v>4765522</v>
      </c>
      <c r="EL17" s="168">
        <v>845589</v>
      </c>
      <c r="EM17" s="168">
        <v>808679</v>
      </c>
      <c r="EN17" s="168">
        <v>5611111</v>
      </c>
      <c r="EO17" s="168">
        <v>230892</v>
      </c>
      <c r="EP17" s="168">
        <v>8828376</v>
      </c>
      <c r="EQ17" s="168">
        <v>9143540</v>
      </c>
      <c r="ER17" s="168">
        <v>9059268</v>
      </c>
      <c r="ES17" s="168">
        <v>4996414</v>
      </c>
      <c r="ET17" s="168">
        <v>9673965</v>
      </c>
      <c r="EU17" s="168">
        <v>9952219</v>
      </c>
      <c r="EV17" s="168">
        <v>14670379</v>
      </c>
      <c r="EW17" s="168">
        <v>71834</v>
      </c>
      <c r="EX17" s="168">
        <v>18961</v>
      </c>
      <c r="EY17" s="168">
        <v>23884</v>
      </c>
      <c r="EZ17" s="168">
        <v>90795</v>
      </c>
      <c r="FA17" s="21"/>
      <c r="FB17" s="21"/>
      <c r="FC17" s="21"/>
      <c r="FD17" s="21"/>
      <c r="FE17" s="21"/>
      <c r="FF17" s="21"/>
      <c r="FG17" s="21"/>
      <c r="FH17" s="21"/>
      <c r="FI17" s="168">
        <v>353593</v>
      </c>
      <c r="FJ17" s="168">
        <v>236763</v>
      </c>
      <c r="FK17" s="21"/>
      <c r="FL17" s="21"/>
      <c r="FM17" s="168">
        <v>87604</v>
      </c>
      <c r="FN17" s="168">
        <v>52794</v>
      </c>
      <c r="FO17" s="168">
        <v>14525</v>
      </c>
      <c r="FP17" s="168">
        <v>40688</v>
      </c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168">
        <v>122764</v>
      </c>
      <c r="GD17" s="168">
        <v>295108</v>
      </c>
      <c r="GE17" s="168">
        <v>332958</v>
      </c>
      <c r="GF17" s="168">
        <v>35137</v>
      </c>
      <c r="GG17" s="21"/>
      <c r="GH17" s="21"/>
      <c r="GI17" s="21"/>
      <c r="GJ17" s="21"/>
      <c r="GK17" s="21"/>
      <c r="GL17" s="21"/>
      <c r="GM17" s="168">
        <v>1061422</v>
      </c>
      <c r="GN17" s="168">
        <v>1042850</v>
      </c>
      <c r="GO17" s="168">
        <v>1061422</v>
      </c>
      <c r="GP17" s="168">
        <v>1042850</v>
      </c>
      <c r="GQ17" s="21"/>
      <c r="GR17" s="21"/>
      <c r="GS17" s="168">
        <v>982005</v>
      </c>
      <c r="GT17" s="168">
        <v>1042850</v>
      </c>
      <c r="GU17" s="168">
        <v>102129</v>
      </c>
      <c r="GV17" s="168">
        <v>93482</v>
      </c>
      <c r="GW17" s="168">
        <v>455722</v>
      </c>
      <c r="GX17" s="168">
        <v>330245</v>
      </c>
      <c r="GY17" s="21"/>
      <c r="GZ17" s="21"/>
      <c r="HA17" s="21"/>
      <c r="HB17" s="21"/>
      <c r="HC17" s="21"/>
      <c r="HD17" s="21"/>
      <c r="HE17" s="168">
        <v>26427</v>
      </c>
      <c r="HF17" s="168">
        <v>138</v>
      </c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168">
        <v>975180</v>
      </c>
      <c r="IV17" s="168">
        <v>1169815</v>
      </c>
      <c r="IW17" s="168">
        <v>802651</v>
      </c>
      <c r="IX17" s="168">
        <v>1010018</v>
      </c>
      <c r="IY17" s="168">
        <v>172529</v>
      </c>
      <c r="IZ17" s="168">
        <v>159797</v>
      </c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1"/>
      <c r="JW17" s="168">
        <v>14342677</v>
      </c>
      <c r="JX17" s="168">
        <v>15894175</v>
      </c>
      <c r="JY17" s="21"/>
      <c r="JZ17" s="21"/>
      <c r="KA17" s="21"/>
      <c r="KB17" s="21"/>
      <c r="KC17" s="21"/>
      <c r="KD17" s="21"/>
      <c r="KE17" s="21"/>
      <c r="KF17" s="21"/>
      <c r="KG17" s="21"/>
      <c r="KH17" s="21"/>
      <c r="KI17" s="21"/>
      <c r="KJ17" s="21"/>
      <c r="KK17" s="21"/>
      <c r="KL17" s="21"/>
      <c r="KM17" s="21"/>
      <c r="KN17" s="21"/>
      <c r="KO17" s="21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168">
        <v>3500000</v>
      </c>
      <c r="LB17" s="168">
        <v>3500000</v>
      </c>
      <c r="LC17" s="21"/>
      <c r="LD17" s="21"/>
      <c r="LE17" s="21"/>
      <c r="LF17" s="21"/>
      <c r="LG17" s="21"/>
      <c r="LH17" s="21"/>
      <c r="LI17" s="168">
        <v>1309526</v>
      </c>
      <c r="LJ17" s="168">
        <v>1630350</v>
      </c>
      <c r="LK17" s="168">
        <v>1680066</v>
      </c>
      <c r="LL17" s="168">
        <v>2424624</v>
      </c>
      <c r="LM17" s="21"/>
      <c r="LN17" s="21"/>
      <c r="LO17" s="21"/>
      <c r="LP17" s="21"/>
      <c r="LQ17" s="21"/>
      <c r="LR17" s="21"/>
      <c r="LS17" s="21"/>
      <c r="LT17" s="21"/>
      <c r="LU17" s="21"/>
      <c r="LV17" s="21"/>
      <c r="LW17" s="21"/>
      <c r="LX17" s="21"/>
      <c r="LY17" s="21"/>
      <c r="LZ17" s="21"/>
      <c r="MA17" s="21"/>
      <c r="MB17" s="21"/>
      <c r="MC17" s="21"/>
      <c r="MD17" s="21"/>
      <c r="ME17" s="21"/>
      <c r="MF17" s="21"/>
      <c r="MG17" s="21"/>
      <c r="MH17" s="21"/>
      <c r="MI17" s="21"/>
      <c r="MJ17" s="21"/>
      <c r="MK17" s="21"/>
      <c r="ML17" s="21"/>
      <c r="MM17" s="168">
        <v>123142</v>
      </c>
      <c r="MN17" s="168">
        <v>96622</v>
      </c>
      <c r="MO17" s="21"/>
      <c r="MP17" s="21"/>
      <c r="MQ17" s="21"/>
      <c r="MR17" s="21"/>
      <c r="MS17" s="21"/>
      <c r="MT17" s="21"/>
      <c r="MU17" s="21"/>
      <c r="MV17" s="21"/>
      <c r="MW17" s="21"/>
      <c r="MX17" s="21"/>
      <c r="MY17" s="21"/>
      <c r="MZ17" s="21"/>
      <c r="NA17" s="21"/>
      <c r="NB17" s="21"/>
      <c r="NC17" s="168">
        <v>79417</v>
      </c>
      <c r="ND17" s="21"/>
      <c r="NE17" s="21"/>
      <c r="NF17" s="21"/>
      <c r="NG17" s="168">
        <v>5602217</v>
      </c>
      <c r="NH17" s="168">
        <v>4746571</v>
      </c>
      <c r="NI17" s="21"/>
      <c r="NJ17" s="21"/>
      <c r="NK17" s="21"/>
      <c r="NL17" s="21"/>
      <c r="NM17" s="168">
        <v>3831597</v>
      </c>
      <c r="NN17" s="168">
        <v>4856336</v>
      </c>
      <c r="NO17" s="168">
        <v>9673965</v>
      </c>
      <c r="NP17" s="168">
        <v>952219</v>
      </c>
      <c r="NQ17" s="168" t="s">
        <v>1247</v>
      </c>
      <c r="NR17" s="168" t="s">
        <v>797</v>
      </c>
      <c r="NS17" s="168" t="s">
        <v>770</v>
      </c>
      <c r="NT17" s="168" t="s">
        <v>771</v>
      </c>
      <c r="NU17" s="168">
        <v>7606</v>
      </c>
      <c r="NV17" s="168" t="s">
        <v>2104</v>
      </c>
      <c r="NW17" s="168" t="s">
        <v>28</v>
      </c>
      <c r="NX17" s="168" t="s">
        <v>25</v>
      </c>
      <c r="NY17" s="169">
        <v>42916</v>
      </c>
      <c r="NZ17" s="169">
        <v>42551</v>
      </c>
      <c r="OA17" s="169">
        <v>43073</v>
      </c>
      <c r="OB17" s="168" t="s">
        <v>1248</v>
      </c>
      <c r="OC17" s="168">
        <v>12</v>
      </c>
      <c r="OD17" s="168" t="s">
        <v>2105</v>
      </c>
      <c r="OE17" s="168" t="s">
        <v>2396</v>
      </c>
      <c r="OF17" s="168" t="s">
        <v>2397</v>
      </c>
      <c r="OG17" s="168" t="s">
        <v>1934</v>
      </c>
      <c r="OH17" s="168" t="s">
        <v>1111</v>
      </c>
      <c r="OI17" s="168" t="s">
        <v>766</v>
      </c>
      <c r="OJ17" s="168" t="s">
        <v>3240</v>
      </c>
      <c r="OK17" s="168" t="s">
        <v>796</v>
      </c>
    </row>
    <row r="18" spans="1:401" x14ac:dyDescent="0.2">
      <c r="A18" s="170" t="str">
        <f>Liste[[#This Row],[Siren]]</f>
        <v>401701628</v>
      </c>
      <c r="B18" s="198" t="str">
        <f>Liste[[#This Row],[Dénomination]]&amp;" - comptes "&amp;YEAR(Liste[[#This Row],[Date de cloture de l''exercice]])</f>
        <v>GAMM VERT SUD ET EST - comptes 2017</v>
      </c>
      <c r="C18" s="21"/>
      <c r="D18" s="21"/>
      <c r="E18" s="21"/>
      <c r="F18" s="168">
        <v>2854124</v>
      </c>
      <c r="G18" s="168">
        <v>2788424</v>
      </c>
      <c r="H18" s="168">
        <v>2854124</v>
      </c>
      <c r="I18" s="168">
        <v>1885701</v>
      </c>
      <c r="J18" s="168">
        <v>415589</v>
      </c>
      <c r="K18" s="168">
        <v>408424</v>
      </c>
      <c r="L18" s="168">
        <v>2301290</v>
      </c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168">
        <v>434208</v>
      </c>
      <c r="AT18" s="168">
        <v>158826</v>
      </c>
      <c r="AU18" s="168">
        <v>434208</v>
      </c>
      <c r="AV18" s="21"/>
      <c r="AW18" s="21"/>
      <c r="AX18" s="21"/>
      <c r="AY18" s="21"/>
      <c r="AZ18" s="21"/>
      <c r="BA18" s="21"/>
      <c r="BB18" s="21"/>
      <c r="BC18" s="168">
        <v>4204</v>
      </c>
      <c r="BD18" s="168">
        <v>21958317</v>
      </c>
      <c r="BE18" s="168">
        <v>40704675</v>
      </c>
      <c r="BF18" s="168">
        <v>21962521</v>
      </c>
      <c r="BG18" s="168">
        <v>712588</v>
      </c>
      <c r="BH18" s="168">
        <v>145130</v>
      </c>
      <c r="BI18" s="168">
        <v>229447</v>
      </c>
      <c r="BJ18" s="168">
        <v>857718</v>
      </c>
      <c r="BK18" s="168">
        <v>6579635</v>
      </c>
      <c r="BL18" s="168">
        <v>4478067</v>
      </c>
      <c r="BM18" s="168">
        <v>4710756</v>
      </c>
      <c r="BN18" s="168">
        <v>11057702</v>
      </c>
      <c r="BO18" s="21"/>
      <c r="BP18" s="21"/>
      <c r="BQ18" s="21"/>
      <c r="BR18" s="21"/>
      <c r="BS18" s="21"/>
      <c r="BT18" s="21"/>
      <c r="BU18" s="21"/>
      <c r="BV18" s="21"/>
      <c r="BW18" s="21"/>
      <c r="BX18" s="168">
        <v>1726543</v>
      </c>
      <c r="BY18" s="168">
        <v>758489</v>
      </c>
      <c r="BZ18" s="168">
        <v>1726543</v>
      </c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168">
        <v>7622</v>
      </c>
      <c r="CQ18" s="21"/>
      <c r="CR18" s="21"/>
      <c r="CS18" s="168">
        <v>7622</v>
      </c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168">
        <v>947427</v>
      </c>
      <c r="DG18" s="168">
        <v>86458</v>
      </c>
      <c r="DH18" s="168">
        <v>99242</v>
      </c>
      <c r="DI18" s="168">
        <v>1033885</v>
      </c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168">
        <v>10575806</v>
      </c>
      <c r="EL18" s="168">
        <v>8635035</v>
      </c>
      <c r="EM18" s="168">
        <v>8996875</v>
      </c>
      <c r="EN18" s="168">
        <v>19210841</v>
      </c>
      <c r="EO18" s="168">
        <v>29999</v>
      </c>
      <c r="EP18" s="168">
        <v>39327456</v>
      </c>
      <c r="EQ18" s="168">
        <v>37635621</v>
      </c>
      <c r="ER18" s="168">
        <v>39357455</v>
      </c>
      <c r="ES18" s="168">
        <v>10605805</v>
      </c>
      <c r="ET18" s="168">
        <v>47962491</v>
      </c>
      <c r="EU18" s="168">
        <v>46632496</v>
      </c>
      <c r="EV18" s="168">
        <v>58568296</v>
      </c>
      <c r="EW18" s="168">
        <v>442833</v>
      </c>
      <c r="EX18" s="168">
        <v>3499473</v>
      </c>
      <c r="EY18" s="168">
        <v>3533347</v>
      </c>
      <c r="EZ18" s="168">
        <v>3942306</v>
      </c>
      <c r="FA18" s="21"/>
      <c r="FB18" s="21"/>
      <c r="FC18" s="21"/>
      <c r="FD18" s="21"/>
      <c r="FE18" s="21"/>
      <c r="FF18" s="21"/>
      <c r="FG18" s="21"/>
      <c r="FH18" s="21"/>
      <c r="FI18" s="168">
        <v>-34596</v>
      </c>
      <c r="FJ18" s="168">
        <v>-7950</v>
      </c>
      <c r="FK18" s="21"/>
      <c r="FL18" s="21"/>
      <c r="FM18" s="21"/>
      <c r="FN18" s="168">
        <v>598</v>
      </c>
      <c r="FO18" s="21"/>
      <c r="FP18" s="21"/>
      <c r="FQ18" s="21"/>
      <c r="FR18" s="21"/>
      <c r="FS18" s="21"/>
      <c r="FT18" s="21"/>
      <c r="FU18" s="168">
        <v>34475</v>
      </c>
      <c r="FV18" s="168">
        <v>40262</v>
      </c>
      <c r="FW18" s="168">
        <v>437805</v>
      </c>
      <c r="FX18" s="168">
        <v>475329</v>
      </c>
      <c r="FY18" s="168">
        <v>9</v>
      </c>
      <c r="FZ18" s="168">
        <v>1053</v>
      </c>
      <c r="GA18" s="168">
        <v>140000</v>
      </c>
      <c r="GB18" s="168">
        <v>145649</v>
      </c>
      <c r="GC18" s="168">
        <v>654</v>
      </c>
      <c r="GD18" s="168">
        <v>3399</v>
      </c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168">
        <v>36000</v>
      </c>
      <c r="GV18" s="168">
        <v>29047</v>
      </c>
      <c r="GW18" s="168">
        <v>1404</v>
      </c>
      <c r="GX18" s="168">
        <v>21099</v>
      </c>
      <c r="GY18" s="168">
        <v>84218000</v>
      </c>
      <c r="GZ18" s="168">
        <v>87051575</v>
      </c>
      <c r="HA18" s="168">
        <v>27032</v>
      </c>
      <c r="HB18" s="168">
        <v>23847</v>
      </c>
      <c r="HC18" s="21"/>
      <c r="HD18" s="21"/>
      <c r="HE18" s="168">
        <v>15445</v>
      </c>
      <c r="HF18" s="168">
        <v>353</v>
      </c>
      <c r="HG18" s="21"/>
      <c r="HH18" s="21"/>
      <c r="HI18" s="168">
        <v>30840</v>
      </c>
      <c r="HJ18" s="168">
        <v>76294</v>
      </c>
      <c r="HK18" s="21"/>
      <c r="HL18" s="21"/>
      <c r="HM18" s="21"/>
      <c r="HN18" s="21"/>
      <c r="HO18" s="168">
        <v>1339793</v>
      </c>
      <c r="HP18" s="21"/>
      <c r="HQ18" s="21"/>
      <c r="HR18" s="21"/>
      <c r="HS18" s="21"/>
      <c r="HT18" s="21"/>
      <c r="HU18" s="168">
        <v>696452</v>
      </c>
      <c r="HV18" s="168">
        <v>732216</v>
      </c>
      <c r="HW18" s="21"/>
      <c r="HX18" s="21"/>
      <c r="HY18" s="168">
        <v>28359</v>
      </c>
      <c r="HZ18" s="168">
        <v>45158</v>
      </c>
      <c r="IA18" s="168">
        <v>25795</v>
      </c>
      <c r="IB18" s="168">
        <v>33857</v>
      </c>
      <c r="IC18" s="21"/>
      <c r="ID18" s="21"/>
      <c r="IE18" s="168">
        <v>574661</v>
      </c>
      <c r="IF18" s="168">
        <v>561189</v>
      </c>
      <c r="IG18" s="168">
        <v>97015</v>
      </c>
      <c r="IH18" s="168">
        <v>116595</v>
      </c>
      <c r="II18" s="21"/>
      <c r="IJ18" s="21"/>
      <c r="IK18" s="21"/>
      <c r="IL18" s="21"/>
      <c r="IM18" s="21"/>
      <c r="IN18" s="21"/>
      <c r="IO18" s="21"/>
      <c r="IP18" s="168">
        <v>73</v>
      </c>
      <c r="IQ18" s="168">
        <v>48</v>
      </c>
      <c r="IR18" s="168">
        <v>34</v>
      </c>
      <c r="IS18" s="21"/>
      <c r="IT18" s="21"/>
      <c r="IU18" s="168">
        <v>1690336</v>
      </c>
      <c r="IV18" s="168">
        <v>1855324</v>
      </c>
      <c r="IW18" s="168">
        <v>1575754</v>
      </c>
      <c r="IX18" s="168">
        <v>1714615</v>
      </c>
      <c r="IY18" s="168">
        <v>114582</v>
      </c>
      <c r="IZ18" s="168">
        <v>140709</v>
      </c>
      <c r="JA18" s="168">
        <v>577681</v>
      </c>
      <c r="JB18" s="168">
        <v>218796</v>
      </c>
      <c r="JC18" s="21"/>
      <c r="JD18" s="21"/>
      <c r="JE18" s="21"/>
      <c r="JF18" s="21"/>
      <c r="JG18" s="168">
        <v>11856</v>
      </c>
      <c r="JH18" s="21"/>
      <c r="JI18" s="168">
        <v>94516743</v>
      </c>
      <c r="JJ18" s="168">
        <v>97043589</v>
      </c>
      <c r="JK18" s="21"/>
      <c r="JL18" s="21"/>
      <c r="JM18" s="168">
        <v>96092497</v>
      </c>
      <c r="JN18" s="168">
        <v>98758204</v>
      </c>
      <c r="JO18" s="168">
        <v>48</v>
      </c>
      <c r="JP18" s="168">
        <v>107</v>
      </c>
      <c r="JQ18" s="168">
        <v>965084</v>
      </c>
      <c r="JR18" s="168">
        <v>1144124</v>
      </c>
      <c r="JS18" s="21"/>
      <c r="JT18" s="21"/>
      <c r="JU18" s="21"/>
      <c r="JV18" s="21"/>
      <c r="JW18" s="168">
        <v>95472120</v>
      </c>
      <c r="JX18" s="168">
        <v>98463114</v>
      </c>
      <c r="JY18" s="21"/>
      <c r="JZ18" s="21"/>
      <c r="KA18" s="21"/>
      <c r="KB18" s="21"/>
      <c r="KC18" s="21"/>
      <c r="KD18" s="21"/>
      <c r="KE18" s="168">
        <v>294016</v>
      </c>
      <c r="KF18" s="168">
        <v>335706</v>
      </c>
      <c r="KG18" s="21"/>
      <c r="KH18" s="21"/>
      <c r="KI18" s="168">
        <v>95178104</v>
      </c>
      <c r="KJ18" s="168">
        <v>98127408</v>
      </c>
      <c r="KK18" s="21"/>
      <c r="KL18" s="21"/>
      <c r="KM18" s="21"/>
      <c r="KN18" s="21"/>
      <c r="KO18" s="21"/>
      <c r="KP18" s="21"/>
      <c r="KQ18" s="21"/>
      <c r="KR18" s="21"/>
      <c r="KS18" s="21"/>
      <c r="KT18" s="21"/>
      <c r="KU18" s="168">
        <v>2378458</v>
      </c>
      <c r="KV18" s="168">
        <v>1954761</v>
      </c>
      <c r="KW18" s="21"/>
      <c r="KX18" s="21"/>
      <c r="KY18" s="21"/>
      <c r="KZ18" s="21"/>
      <c r="LA18" s="168">
        <v>6390622</v>
      </c>
      <c r="LB18" s="168">
        <v>6182320</v>
      </c>
      <c r="LC18" s="168">
        <v>30</v>
      </c>
      <c r="LD18" s="168">
        <v>14171</v>
      </c>
      <c r="LE18" s="168">
        <v>9</v>
      </c>
      <c r="LF18" s="168">
        <v>1053</v>
      </c>
      <c r="LG18" s="21"/>
      <c r="LH18" s="21"/>
      <c r="LI18" s="168">
        <v>1240845</v>
      </c>
      <c r="LJ18" s="168">
        <v>1305938</v>
      </c>
      <c r="LK18" s="168">
        <v>18562633</v>
      </c>
      <c r="LL18" s="168">
        <v>16946824</v>
      </c>
      <c r="LM18" s="21"/>
      <c r="LN18" s="21"/>
      <c r="LO18" s="21"/>
      <c r="LP18" s="21"/>
      <c r="LQ18" s="21"/>
      <c r="LR18" s="21"/>
      <c r="LS18" s="21"/>
      <c r="LT18" s="21"/>
      <c r="LU18" s="21"/>
      <c r="LV18" s="21"/>
      <c r="LW18" s="21"/>
      <c r="LX18" s="21"/>
      <c r="LY18" s="21"/>
      <c r="LZ18" s="21"/>
      <c r="MA18" s="168">
        <v>2070309</v>
      </c>
      <c r="MB18" s="168">
        <v>2854782</v>
      </c>
      <c r="MC18" s="21"/>
      <c r="MD18" s="21"/>
      <c r="ME18" s="21"/>
      <c r="MF18" s="21"/>
      <c r="MG18" s="168">
        <v>818240</v>
      </c>
      <c r="MH18" s="168">
        <v>850309</v>
      </c>
      <c r="MI18" s="168">
        <v>2535650</v>
      </c>
      <c r="MJ18" s="168">
        <v>2211758</v>
      </c>
      <c r="MK18" s="21"/>
      <c r="ML18" s="21"/>
      <c r="MM18" s="168">
        <v>157057</v>
      </c>
      <c r="MN18" s="168">
        <v>132047</v>
      </c>
      <c r="MO18" s="168">
        <v>458815</v>
      </c>
      <c r="MP18" s="168">
        <v>415400</v>
      </c>
      <c r="MQ18" s="21"/>
      <c r="MR18" s="21"/>
      <c r="MS18" s="21"/>
      <c r="MT18" s="21"/>
      <c r="MU18" s="21"/>
      <c r="MV18" s="21"/>
      <c r="MW18" s="168">
        <v>556943</v>
      </c>
      <c r="MX18" s="168">
        <v>532001</v>
      </c>
      <c r="MY18" s="21"/>
      <c r="MZ18" s="21"/>
      <c r="NA18" s="21"/>
      <c r="NB18" s="21"/>
      <c r="NC18" s="168">
        <v>883303</v>
      </c>
      <c r="ND18" s="168">
        <v>984296</v>
      </c>
      <c r="NE18" s="21"/>
      <c r="NF18" s="21"/>
      <c r="NG18" s="168">
        <v>16770741</v>
      </c>
      <c r="NH18" s="168">
        <v>15405552</v>
      </c>
      <c r="NI18" s="21"/>
      <c r="NJ18" s="21"/>
      <c r="NK18" s="168">
        <v>21</v>
      </c>
      <c r="NL18" s="168">
        <v>15224</v>
      </c>
      <c r="NM18" s="168">
        <v>28278573</v>
      </c>
      <c r="NN18" s="168">
        <v>27236654</v>
      </c>
      <c r="NO18" s="168">
        <v>46326390</v>
      </c>
      <c r="NP18" s="168">
        <v>43923139</v>
      </c>
      <c r="NQ18" s="168" t="s">
        <v>910</v>
      </c>
      <c r="NR18" s="168" t="s">
        <v>840</v>
      </c>
      <c r="NS18" s="168" t="s">
        <v>770</v>
      </c>
      <c r="NT18" s="168" t="s">
        <v>771</v>
      </c>
      <c r="NU18" s="168">
        <v>6901</v>
      </c>
      <c r="NV18" s="168" t="s">
        <v>2104</v>
      </c>
      <c r="NW18" s="168" t="s">
        <v>28</v>
      </c>
      <c r="NX18" s="168" t="s">
        <v>25</v>
      </c>
      <c r="NY18" s="169">
        <v>42916</v>
      </c>
      <c r="NZ18" s="169">
        <v>42551</v>
      </c>
      <c r="OA18" s="169">
        <v>43097</v>
      </c>
      <c r="OB18" s="168" t="s">
        <v>3250</v>
      </c>
      <c r="OC18" s="168">
        <v>12</v>
      </c>
      <c r="OD18" s="168" t="s">
        <v>2105</v>
      </c>
      <c r="OE18" s="168" t="s">
        <v>3251</v>
      </c>
      <c r="OF18" s="168" t="s">
        <v>3252</v>
      </c>
      <c r="OG18" s="168" t="s">
        <v>3253</v>
      </c>
      <c r="OH18" s="168" t="s">
        <v>819</v>
      </c>
      <c r="OI18" s="168" t="s">
        <v>766</v>
      </c>
      <c r="OJ18" s="168" t="s">
        <v>3240</v>
      </c>
      <c r="OK18" s="168" t="s">
        <v>839</v>
      </c>
    </row>
    <row r="19" spans="1:401" x14ac:dyDescent="0.2">
      <c r="A19" s="170" t="str">
        <f>Liste[[#This Row],[Siren]]</f>
        <v>552121816</v>
      </c>
      <c r="B19" s="198" t="str">
        <f>Liste[[#This Row],[Dénomination]]&amp;" - comptes "&amp;YEAR(Liste[[#This Row],[Date de cloture de l''exercice]])</f>
        <v>MALTERIES FRANCO BELGES - comptes 2017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168">
        <v>178271000</v>
      </c>
      <c r="EM19" s="168">
        <v>157097000</v>
      </c>
      <c r="EN19" s="21"/>
      <c r="EO19" s="21"/>
      <c r="EP19" s="168">
        <v>22186000</v>
      </c>
      <c r="EQ19" s="168">
        <v>19408000</v>
      </c>
      <c r="ER19" s="21"/>
      <c r="ES19" s="21"/>
      <c r="ET19" s="168">
        <v>200457000</v>
      </c>
      <c r="EU19" s="168">
        <v>176505000</v>
      </c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168">
        <v>24289000</v>
      </c>
      <c r="GN19" s="168">
        <v>19999000</v>
      </c>
      <c r="GO19" s="21"/>
      <c r="GP19" s="21"/>
      <c r="GQ19" s="21"/>
      <c r="GR19" s="21"/>
      <c r="GS19" s="168">
        <v>24289000</v>
      </c>
      <c r="GT19" s="168">
        <v>19999000</v>
      </c>
      <c r="GU19" s="21"/>
      <c r="GV19" s="21"/>
      <c r="GW19" s="21"/>
      <c r="GX19" s="21"/>
      <c r="GY19" s="21"/>
      <c r="GZ19" s="21"/>
      <c r="HA19" s="21"/>
      <c r="HB19" s="21"/>
      <c r="HC19" s="168">
        <v>7345000</v>
      </c>
      <c r="HD19" s="168">
        <v>6766000</v>
      </c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168">
        <v>1797000</v>
      </c>
      <c r="IF19" s="168">
        <v>1637000</v>
      </c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168">
        <v>25332000</v>
      </c>
      <c r="IV19" s="168">
        <v>22309000</v>
      </c>
      <c r="IW19" s="21"/>
      <c r="IX19" s="21"/>
      <c r="IY19" s="21"/>
      <c r="IZ19" s="21"/>
      <c r="JA19" s="21"/>
      <c r="JB19" s="21"/>
      <c r="JC19" s="21"/>
      <c r="JD19" s="21"/>
      <c r="JE19" s="21"/>
      <c r="JF19" s="21"/>
      <c r="JG19" s="21"/>
      <c r="JH19" s="21"/>
      <c r="JI19" s="21"/>
      <c r="JJ19" s="21"/>
      <c r="JK19" s="21"/>
      <c r="JL19" s="21"/>
      <c r="JM19" s="21"/>
      <c r="JN19" s="21"/>
      <c r="JO19" s="21"/>
      <c r="JP19" s="21"/>
      <c r="JQ19" s="21"/>
      <c r="JR19" s="21"/>
      <c r="JS19" s="21"/>
      <c r="JT19" s="21"/>
      <c r="JU19" s="21"/>
      <c r="JV19" s="21"/>
      <c r="JW19" s="21"/>
      <c r="JX19" s="21"/>
      <c r="JY19" s="21"/>
      <c r="JZ19" s="21"/>
      <c r="KA19" s="21"/>
      <c r="KB19" s="21"/>
      <c r="KC19" s="21"/>
      <c r="KD19" s="21"/>
      <c r="KE19" s="21"/>
      <c r="KF19" s="21"/>
      <c r="KG19" s="21"/>
      <c r="KH19" s="21"/>
      <c r="KI19" s="21"/>
      <c r="KJ19" s="21"/>
      <c r="KK19" s="21"/>
      <c r="KL19" s="21"/>
      <c r="KM19" s="21"/>
      <c r="KN19" s="21"/>
      <c r="KO19" s="21"/>
      <c r="KP19" s="21"/>
      <c r="KQ19" s="21"/>
      <c r="KR19" s="21"/>
      <c r="KS19" s="21"/>
      <c r="KT19" s="21"/>
      <c r="KU19" s="21"/>
      <c r="KV19" s="21"/>
      <c r="KW19" s="21"/>
      <c r="KX19" s="21"/>
      <c r="KY19" s="21"/>
      <c r="KZ19" s="21"/>
      <c r="LA19" s="168">
        <v>15123000</v>
      </c>
      <c r="LB19" s="168">
        <v>15123000</v>
      </c>
      <c r="LC19" s="21"/>
      <c r="LD19" s="21"/>
      <c r="LE19" s="21"/>
      <c r="LF19" s="21"/>
      <c r="LG19" s="21"/>
      <c r="LH19" s="21"/>
      <c r="LI19" s="21"/>
      <c r="LJ19" s="21"/>
      <c r="LK19" s="21"/>
      <c r="LL19" s="21"/>
      <c r="LM19" s="21"/>
      <c r="LN19" s="21"/>
      <c r="LO19" s="21"/>
      <c r="LP19" s="21"/>
      <c r="LQ19" s="21"/>
      <c r="LR19" s="21"/>
      <c r="LS19" s="21"/>
      <c r="LT19" s="21"/>
      <c r="LU19" s="21"/>
      <c r="LV19" s="21"/>
      <c r="LW19" s="21"/>
      <c r="LX19" s="21"/>
      <c r="LY19" s="21"/>
      <c r="LZ19" s="21"/>
      <c r="MA19" s="168">
        <v>1000</v>
      </c>
      <c r="MB19" s="168">
        <v>133000</v>
      </c>
      <c r="MC19" s="21"/>
      <c r="MD19" s="168">
        <v>25000</v>
      </c>
      <c r="ME19" s="21"/>
      <c r="MF19" s="21"/>
      <c r="MG19" s="168">
        <v>5372000</v>
      </c>
      <c r="MH19" s="168">
        <v>6286000</v>
      </c>
      <c r="MI19" s="21"/>
      <c r="MJ19" s="21"/>
      <c r="MK19" s="21"/>
      <c r="ML19" s="21"/>
      <c r="MM19" s="21"/>
      <c r="MN19" s="21"/>
      <c r="MO19" s="21"/>
      <c r="MP19" s="21"/>
      <c r="MQ19" s="21"/>
      <c r="MR19" s="21"/>
      <c r="MS19" s="21"/>
      <c r="MT19" s="21"/>
      <c r="MU19" s="21"/>
      <c r="MV19" s="21"/>
      <c r="MW19" s="21"/>
      <c r="MX19" s="21"/>
      <c r="MY19" s="21"/>
      <c r="MZ19" s="21"/>
      <c r="NA19" s="21"/>
      <c r="NB19" s="21"/>
      <c r="NC19" s="21"/>
      <c r="ND19" s="21"/>
      <c r="NE19" s="21"/>
      <c r="NF19" s="21"/>
      <c r="NG19" s="168">
        <v>178756000</v>
      </c>
      <c r="NH19" s="168">
        <v>154584000</v>
      </c>
      <c r="NI19" s="21"/>
      <c r="NJ19" s="21"/>
      <c r="NK19" s="21"/>
      <c r="NL19" s="21"/>
      <c r="NM19" s="168">
        <v>21701000</v>
      </c>
      <c r="NN19" s="168">
        <v>21921000</v>
      </c>
      <c r="NO19" s="168">
        <v>200457000</v>
      </c>
      <c r="NP19" s="168">
        <v>176505000</v>
      </c>
      <c r="NQ19" s="168" t="s">
        <v>1085</v>
      </c>
      <c r="NR19" s="168" t="s">
        <v>1561</v>
      </c>
      <c r="NS19" s="168" t="s">
        <v>770</v>
      </c>
      <c r="NT19" s="168" t="s">
        <v>771</v>
      </c>
      <c r="NU19" s="168">
        <v>1001</v>
      </c>
      <c r="NV19" s="168" t="s">
        <v>2104</v>
      </c>
      <c r="NW19" s="168" t="s">
        <v>28</v>
      </c>
      <c r="NX19" s="168" t="s">
        <v>25</v>
      </c>
      <c r="NY19" s="169">
        <v>42916</v>
      </c>
      <c r="NZ19" s="169">
        <v>42551</v>
      </c>
      <c r="OA19" s="169">
        <v>43053</v>
      </c>
      <c r="OB19" s="168" t="s">
        <v>1562</v>
      </c>
      <c r="OC19" s="168">
        <v>12</v>
      </c>
      <c r="OD19" s="168" t="s">
        <v>2105</v>
      </c>
      <c r="OE19" s="168" t="s">
        <v>2639</v>
      </c>
      <c r="OF19" s="168" t="s">
        <v>2640</v>
      </c>
      <c r="OG19" s="168" t="s">
        <v>2088</v>
      </c>
      <c r="OH19" s="168" t="s">
        <v>1053</v>
      </c>
      <c r="OI19" s="168" t="s">
        <v>766</v>
      </c>
      <c r="OJ19" s="168" t="s">
        <v>3240</v>
      </c>
      <c r="OK19" s="168" t="s">
        <v>1560</v>
      </c>
    </row>
    <row r="20" spans="1:401" x14ac:dyDescent="0.2">
      <c r="A20" s="170" t="str">
        <f>Liste[[#This Row],[Siren]]</f>
        <v>778556423</v>
      </c>
      <c r="B20" s="198" t="str">
        <f>Liste[[#This Row],[Dénomination]]&amp;" - comptes "&amp;YEAR(Liste[[#This Row],[Date de cloture de l''exercice]])</f>
        <v>SOCIETE COOPERATIVE AGRICOLE ET VITICOLE BOURGOGNE DU SUD - comptes 2017</v>
      </c>
      <c r="C20" s="21"/>
      <c r="D20" s="21"/>
      <c r="E20" s="168">
        <v>8757580</v>
      </c>
      <c r="F20" s="168">
        <v>36441067</v>
      </c>
      <c r="G20" s="168">
        <v>33257960</v>
      </c>
      <c r="H20" s="168">
        <v>45198647</v>
      </c>
      <c r="I20" s="168">
        <v>5810802</v>
      </c>
      <c r="J20" s="168">
        <v>1272413</v>
      </c>
      <c r="K20" s="168">
        <v>2229731</v>
      </c>
      <c r="L20" s="168">
        <v>7083215</v>
      </c>
      <c r="M20" s="168">
        <v>991</v>
      </c>
      <c r="N20" s="168">
        <v>230333</v>
      </c>
      <c r="O20" s="168">
        <v>323692</v>
      </c>
      <c r="P20" s="168">
        <v>231324</v>
      </c>
      <c r="Q20" s="21"/>
      <c r="R20" s="21"/>
      <c r="S20" s="21"/>
      <c r="T20" s="21"/>
      <c r="U20" s="168">
        <v>1308446</v>
      </c>
      <c r="V20" s="168">
        <v>5233303</v>
      </c>
      <c r="W20" s="168">
        <v>5255047</v>
      </c>
      <c r="X20" s="168">
        <v>6541749</v>
      </c>
      <c r="Y20" s="21"/>
      <c r="Z20" s="168">
        <v>588280</v>
      </c>
      <c r="AA20" s="168">
        <v>570224</v>
      </c>
      <c r="AB20" s="168">
        <v>588280</v>
      </c>
      <c r="AC20" s="21"/>
      <c r="AD20" s="168">
        <v>9096</v>
      </c>
      <c r="AE20" s="21"/>
      <c r="AF20" s="168">
        <v>9096</v>
      </c>
      <c r="AG20" s="21"/>
      <c r="AH20" s="21"/>
      <c r="AI20" s="21"/>
      <c r="AJ20" s="21"/>
      <c r="AK20" s="21"/>
      <c r="AL20" s="168">
        <v>22065</v>
      </c>
      <c r="AM20" s="21"/>
      <c r="AN20" s="168">
        <v>22065</v>
      </c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168">
        <v>673844</v>
      </c>
      <c r="BA20" s="168">
        <v>862778</v>
      </c>
      <c r="BB20" s="168">
        <v>673844</v>
      </c>
      <c r="BC20" s="168">
        <v>931187</v>
      </c>
      <c r="BD20" s="168">
        <v>17877307</v>
      </c>
      <c r="BE20" s="168">
        <v>22041130</v>
      </c>
      <c r="BF20" s="168">
        <v>18808494</v>
      </c>
      <c r="BG20" s="168">
        <v>184894</v>
      </c>
      <c r="BH20" s="168">
        <v>20800</v>
      </c>
      <c r="BI20" s="168">
        <v>18598</v>
      </c>
      <c r="BJ20" s="168">
        <v>205694</v>
      </c>
      <c r="BK20" s="168">
        <v>85775251</v>
      </c>
      <c r="BL20" s="168">
        <v>45866831</v>
      </c>
      <c r="BM20" s="168">
        <v>45435133</v>
      </c>
      <c r="BN20" s="168">
        <v>131642082</v>
      </c>
      <c r="BO20" s="21"/>
      <c r="BP20" s="168">
        <v>250015</v>
      </c>
      <c r="BQ20" s="168">
        <v>15</v>
      </c>
      <c r="BR20" s="168">
        <v>250015</v>
      </c>
      <c r="BS20" s="21"/>
      <c r="BT20" s="21"/>
      <c r="BU20" s="21"/>
      <c r="BV20" s="21"/>
      <c r="BW20" s="21"/>
      <c r="BX20" s="168">
        <v>2078872</v>
      </c>
      <c r="BY20" s="168">
        <v>2289332</v>
      </c>
      <c r="BZ20" s="168">
        <v>2078872</v>
      </c>
      <c r="CA20" s="21"/>
      <c r="CB20" s="168">
        <v>6</v>
      </c>
      <c r="CC20" s="21"/>
      <c r="CD20" s="168">
        <v>487142</v>
      </c>
      <c r="CE20" s="168">
        <v>1816278</v>
      </c>
      <c r="CF20" s="168">
        <v>169015</v>
      </c>
      <c r="CG20" s="168">
        <v>2303420</v>
      </c>
      <c r="CH20" s="21"/>
      <c r="CI20" s="21"/>
      <c r="CJ20" s="21"/>
      <c r="CK20" s="21"/>
      <c r="CL20" s="21"/>
      <c r="CM20" s="21"/>
      <c r="CN20" s="21"/>
      <c r="CO20" s="21"/>
      <c r="CP20" s="168">
        <v>2565654</v>
      </c>
      <c r="CQ20" s="168">
        <v>1128454</v>
      </c>
      <c r="CR20" s="168">
        <v>1285657</v>
      </c>
      <c r="CS20" s="168">
        <v>3694108</v>
      </c>
      <c r="CT20" s="21"/>
      <c r="CU20" s="21"/>
      <c r="CV20" s="21"/>
      <c r="CW20" s="21"/>
      <c r="CX20" s="168">
        <v>4950</v>
      </c>
      <c r="CY20" s="21"/>
      <c r="CZ20" s="21"/>
      <c r="DA20" s="168">
        <v>4950</v>
      </c>
      <c r="DB20" s="21"/>
      <c r="DC20" s="168">
        <v>852622</v>
      </c>
      <c r="DD20" s="168">
        <v>3815499</v>
      </c>
      <c r="DE20" s="168">
        <v>852622</v>
      </c>
      <c r="DF20" s="168">
        <v>26380854</v>
      </c>
      <c r="DG20" s="168">
        <v>3392848</v>
      </c>
      <c r="DH20" s="168">
        <v>4053927</v>
      </c>
      <c r="DI20" s="168">
        <v>29773702</v>
      </c>
      <c r="DJ20" s="168">
        <v>861104</v>
      </c>
      <c r="DK20" s="168">
        <v>21401884</v>
      </c>
      <c r="DL20" s="168">
        <v>25709968</v>
      </c>
      <c r="DM20" s="168">
        <v>22262988</v>
      </c>
      <c r="DN20" s="21"/>
      <c r="DO20" s="168">
        <v>3315630</v>
      </c>
      <c r="DP20" s="168">
        <v>3261710</v>
      </c>
      <c r="DQ20" s="168">
        <v>3315630</v>
      </c>
      <c r="DR20" s="21"/>
      <c r="DS20" s="168">
        <v>906275</v>
      </c>
      <c r="DT20" s="168">
        <v>696674</v>
      </c>
      <c r="DU20" s="168">
        <v>906275</v>
      </c>
      <c r="DV20" s="168">
        <v>180677</v>
      </c>
      <c r="DW20" s="168">
        <v>114867</v>
      </c>
      <c r="DX20" s="168">
        <v>230436</v>
      </c>
      <c r="DY20" s="168">
        <v>295544</v>
      </c>
      <c r="DZ20" s="21"/>
      <c r="EA20" s="21"/>
      <c r="EB20" s="21"/>
      <c r="EC20" s="168">
        <v>5838</v>
      </c>
      <c r="ED20" s="168">
        <v>792474</v>
      </c>
      <c r="EE20" s="168">
        <v>412903</v>
      </c>
      <c r="EF20" s="168">
        <v>798312</v>
      </c>
      <c r="EG20" s="21"/>
      <c r="EH20" s="21"/>
      <c r="EI20" s="21"/>
      <c r="EJ20" s="21"/>
      <c r="EK20" s="168">
        <v>125360943</v>
      </c>
      <c r="EL20" s="168">
        <v>66094076</v>
      </c>
      <c r="EM20" s="168">
        <v>70313800</v>
      </c>
      <c r="EN20" s="168">
        <v>191455019</v>
      </c>
      <c r="EO20" s="168">
        <v>10562884</v>
      </c>
      <c r="EP20" s="168">
        <v>83018468</v>
      </c>
      <c r="EQ20" s="168">
        <v>88338280</v>
      </c>
      <c r="ER20" s="168">
        <v>93581352</v>
      </c>
      <c r="ES20" s="168">
        <v>136410969</v>
      </c>
      <c r="ET20" s="168">
        <v>150928822</v>
      </c>
      <c r="EU20" s="168">
        <v>160342237</v>
      </c>
      <c r="EV20" s="168">
        <v>287339791</v>
      </c>
      <c r="EW20" s="168">
        <v>3148424</v>
      </c>
      <c r="EX20" s="168">
        <v>6227939</v>
      </c>
      <c r="EY20" s="168">
        <v>6399167</v>
      </c>
      <c r="EZ20" s="168">
        <v>9376363</v>
      </c>
      <c r="FA20" s="21"/>
      <c r="FB20" s="21"/>
      <c r="FC20" s="21"/>
      <c r="FD20" s="21"/>
      <c r="FE20" s="168">
        <v>7175</v>
      </c>
      <c r="FF20" s="168">
        <v>415325</v>
      </c>
      <c r="FG20" s="168">
        <v>502500</v>
      </c>
      <c r="FH20" s="168">
        <v>422500</v>
      </c>
      <c r="FI20" s="168">
        <v>-72972</v>
      </c>
      <c r="FJ20" s="168">
        <v>218367</v>
      </c>
      <c r="FK20" s="21"/>
      <c r="FL20" s="21"/>
      <c r="FM20" s="168">
        <v>229134</v>
      </c>
      <c r="FN20" s="168">
        <v>179477</v>
      </c>
      <c r="FO20" s="168">
        <v>910948</v>
      </c>
      <c r="FP20" s="168">
        <v>78255</v>
      </c>
      <c r="FQ20" s="168">
        <v>52024</v>
      </c>
      <c r="FR20" s="168">
        <v>-43017</v>
      </c>
      <c r="FS20" s="168">
        <v>42449</v>
      </c>
      <c r="FT20" s="168">
        <v>78255</v>
      </c>
      <c r="FU20" s="21"/>
      <c r="FV20" s="21"/>
      <c r="FW20" s="168">
        <v>736592</v>
      </c>
      <c r="FX20" s="168">
        <v>525013</v>
      </c>
      <c r="FY20" s="21"/>
      <c r="FZ20" s="21"/>
      <c r="GA20" s="21"/>
      <c r="GB20" s="21"/>
      <c r="GC20" s="168">
        <v>410</v>
      </c>
      <c r="GD20" s="168">
        <v>3529</v>
      </c>
      <c r="GE20" s="168">
        <v>1090873</v>
      </c>
      <c r="GF20" s="168">
        <v>372156</v>
      </c>
      <c r="GG20" s="21"/>
      <c r="GH20" s="21"/>
      <c r="GI20" s="21"/>
      <c r="GJ20" s="21"/>
      <c r="GK20" s="168">
        <v>18276</v>
      </c>
      <c r="GL20" s="168">
        <v>102851</v>
      </c>
      <c r="GM20" s="21"/>
      <c r="GN20" s="21"/>
      <c r="GO20" s="21"/>
      <c r="GP20" s="21"/>
      <c r="GQ20" s="21"/>
      <c r="GR20" s="21"/>
      <c r="GS20" s="21"/>
      <c r="GT20" s="21"/>
      <c r="GU20" s="168">
        <v>1182531</v>
      </c>
      <c r="GV20" s="168">
        <v>260169</v>
      </c>
      <c r="GW20" s="168">
        <v>1109559</v>
      </c>
      <c r="GX20" s="168">
        <v>1109</v>
      </c>
      <c r="GY20" s="168">
        <v>146200413</v>
      </c>
      <c r="GZ20" s="168">
        <v>170324267</v>
      </c>
      <c r="HA20" s="168">
        <v>17400605</v>
      </c>
      <c r="HB20" s="168">
        <v>17323022</v>
      </c>
      <c r="HC20" s="168">
        <v>21113393</v>
      </c>
      <c r="HD20" s="168">
        <v>21267942</v>
      </c>
      <c r="HE20" s="168">
        <v>570885</v>
      </c>
      <c r="HF20" s="168">
        <v>372379</v>
      </c>
      <c r="HG20" s="168">
        <v>1442837</v>
      </c>
      <c r="HH20" s="168">
        <v>1529924</v>
      </c>
      <c r="HI20" s="168">
        <v>66393</v>
      </c>
      <c r="HJ20" s="168">
        <v>601460</v>
      </c>
      <c r="HK20" s="21"/>
      <c r="HL20" s="21"/>
      <c r="HM20" s="21"/>
      <c r="HN20" s="21"/>
      <c r="HO20" s="168">
        <v>4944464</v>
      </c>
      <c r="HP20" s="168">
        <v>5134349</v>
      </c>
      <c r="HQ20" s="21"/>
      <c r="HR20" s="21"/>
      <c r="HS20" s="21"/>
      <c r="HT20" s="21"/>
      <c r="HU20" s="168">
        <v>6866026</v>
      </c>
      <c r="HV20" s="168">
        <v>7424884</v>
      </c>
      <c r="HW20" s="21"/>
      <c r="HX20" s="21"/>
      <c r="HY20" s="168">
        <v>315250</v>
      </c>
      <c r="HZ20" s="168">
        <v>1606980</v>
      </c>
      <c r="IA20" s="168">
        <v>3662895</v>
      </c>
      <c r="IB20" s="168">
        <v>3407725</v>
      </c>
      <c r="IC20" s="168">
        <v>170299</v>
      </c>
      <c r="ID20" s="168">
        <v>98254</v>
      </c>
      <c r="IE20" s="168">
        <v>2801863</v>
      </c>
      <c r="IF20" s="168">
        <v>2684171</v>
      </c>
      <c r="IG20" s="168">
        <v>977949</v>
      </c>
      <c r="IH20" s="168">
        <v>1205501</v>
      </c>
      <c r="II20" s="21"/>
      <c r="IJ20" s="21"/>
      <c r="IK20" s="21"/>
      <c r="IL20" s="21"/>
      <c r="IM20" s="168">
        <v>385409</v>
      </c>
      <c r="IN20" s="168">
        <v>-297940</v>
      </c>
      <c r="IO20" s="168">
        <v>3600</v>
      </c>
      <c r="IP20" s="168">
        <v>4306</v>
      </c>
      <c r="IQ20" s="168">
        <v>58732</v>
      </c>
      <c r="IR20" s="168">
        <v>16492</v>
      </c>
      <c r="IS20" s="21"/>
      <c r="IT20" s="168">
        <v>207</v>
      </c>
      <c r="IU20" s="168">
        <v>3325059</v>
      </c>
      <c r="IV20" s="168">
        <v>2782241</v>
      </c>
      <c r="IW20" s="168">
        <v>2967590</v>
      </c>
      <c r="IX20" s="168">
        <v>2535061</v>
      </c>
      <c r="IY20" s="168">
        <v>357469</v>
      </c>
      <c r="IZ20" s="168">
        <v>247180</v>
      </c>
      <c r="JA20" s="168">
        <v>6413633</v>
      </c>
      <c r="JB20" s="168">
        <v>6732924</v>
      </c>
      <c r="JC20" s="168">
        <v>537</v>
      </c>
      <c r="JD20" s="21"/>
      <c r="JE20" s="168">
        <v>12575029</v>
      </c>
      <c r="JF20" s="168">
        <v>12737564</v>
      </c>
      <c r="JG20" s="168">
        <v>56010</v>
      </c>
      <c r="JH20" s="168">
        <v>32936</v>
      </c>
      <c r="JI20" s="168">
        <v>220717877</v>
      </c>
      <c r="JJ20" s="168">
        <v>240034099</v>
      </c>
      <c r="JK20" s="168">
        <v>1148237</v>
      </c>
      <c r="JL20" s="168">
        <v>1303751</v>
      </c>
      <c r="JM20" s="168">
        <v>6921445</v>
      </c>
      <c r="JN20" s="168">
        <v>7069380</v>
      </c>
      <c r="JO20" s="168">
        <v>1505706</v>
      </c>
      <c r="JP20" s="168">
        <v>1550931</v>
      </c>
      <c r="JQ20" s="168">
        <v>4320975</v>
      </c>
      <c r="JR20" s="168">
        <v>-2086519</v>
      </c>
      <c r="JS20" s="168">
        <v>-53921</v>
      </c>
      <c r="JT20" s="168">
        <v>-162665</v>
      </c>
      <c r="JU20" s="21"/>
      <c r="JV20" s="21"/>
      <c r="JW20" s="168">
        <v>197926320</v>
      </c>
      <c r="JX20" s="168">
        <v>219497621</v>
      </c>
      <c r="JY20" s="168">
        <v>2870291</v>
      </c>
      <c r="JZ20" s="168">
        <v>12462263</v>
      </c>
      <c r="KA20" s="168">
        <v>12462263</v>
      </c>
      <c r="KB20" s="168">
        <v>12217645</v>
      </c>
      <c r="KC20" s="168">
        <v>2930</v>
      </c>
      <c r="KD20" s="168">
        <v>3442370</v>
      </c>
      <c r="KE20" s="168">
        <v>3442370</v>
      </c>
      <c r="KF20" s="168">
        <v>3784514</v>
      </c>
      <c r="KG20" s="168">
        <v>59848</v>
      </c>
      <c r="KH20" s="168">
        <v>197926320</v>
      </c>
      <c r="KI20" s="168">
        <v>197926320</v>
      </c>
      <c r="KJ20" s="168">
        <v>219497621</v>
      </c>
      <c r="KK20" s="21"/>
      <c r="KL20" s="21"/>
      <c r="KM20" s="21"/>
      <c r="KN20" s="21"/>
      <c r="KO20" s="21"/>
      <c r="KP20" s="21"/>
      <c r="KQ20" s="168">
        <v>7426432</v>
      </c>
      <c r="KR20" s="168">
        <v>9385335</v>
      </c>
      <c r="KS20" s="21"/>
      <c r="KT20" s="21"/>
      <c r="KU20" s="168">
        <v>37016528</v>
      </c>
      <c r="KV20" s="168">
        <v>36991405</v>
      </c>
      <c r="KW20" s="21"/>
      <c r="KX20" s="21"/>
      <c r="KY20" s="168">
        <v>2206</v>
      </c>
      <c r="KZ20" s="168">
        <v>17</v>
      </c>
      <c r="LA20" s="168">
        <v>11801484</v>
      </c>
      <c r="LB20" s="168">
        <v>11667464</v>
      </c>
      <c r="LC20" s="21"/>
      <c r="LD20" s="21"/>
      <c r="LE20" s="168">
        <v>1476</v>
      </c>
      <c r="LF20" s="168">
        <v>1819</v>
      </c>
      <c r="LG20" s="21"/>
      <c r="LH20" s="21"/>
      <c r="LI20" s="168">
        <v>7328633</v>
      </c>
      <c r="LJ20" s="168">
        <v>7769362</v>
      </c>
      <c r="LK20" s="168">
        <v>16127758</v>
      </c>
      <c r="LL20" s="168">
        <v>18725030</v>
      </c>
      <c r="LM20" s="168">
        <v>1023356</v>
      </c>
      <c r="LN20" s="168">
        <v>1845238</v>
      </c>
      <c r="LO20" s="21"/>
      <c r="LP20" s="21"/>
      <c r="LQ20" s="21"/>
      <c r="LR20" s="21"/>
      <c r="LS20" s="21"/>
      <c r="LT20" s="21"/>
      <c r="LU20" s="21"/>
      <c r="LV20" s="21"/>
      <c r="LW20" s="168">
        <v>95035</v>
      </c>
      <c r="LX20" s="168">
        <v>95035</v>
      </c>
      <c r="LY20" s="21"/>
      <c r="LZ20" s="21"/>
      <c r="MA20" s="168">
        <v>36948665</v>
      </c>
      <c r="MB20" s="168">
        <v>39852235</v>
      </c>
      <c r="MC20" s="168">
        <v>454162</v>
      </c>
      <c r="MD20" s="168">
        <v>792324</v>
      </c>
      <c r="ME20" s="21"/>
      <c r="MF20" s="21"/>
      <c r="MG20" s="21"/>
      <c r="MH20" s="21"/>
      <c r="MI20" s="168">
        <v>2329</v>
      </c>
      <c r="MJ20" s="168">
        <v>2329</v>
      </c>
      <c r="MK20" s="21"/>
      <c r="ML20" s="21"/>
      <c r="MM20" s="168">
        <v>546206</v>
      </c>
      <c r="MN20" s="168">
        <v>449437</v>
      </c>
      <c r="MO20" s="168">
        <v>1963976</v>
      </c>
      <c r="MP20" s="168">
        <v>1800767</v>
      </c>
      <c r="MQ20" s="168">
        <v>281822</v>
      </c>
      <c r="MR20" s="168">
        <v>1717703</v>
      </c>
      <c r="MS20" s="21"/>
      <c r="MT20" s="21"/>
      <c r="MU20" s="168">
        <v>219948</v>
      </c>
      <c r="MV20" s="168">
        <v>219948</v>
      </c>
      <c r="MW20" s="168">
        <v>10070304</v>
      </c>
      <c r="MX20" s="168">
        <v>10070304</v>
      </c>
      <c r="MY20" s="168">
        <v>10530744</v>
      </c>
      <c r="MZ20" s="168">
        <v>10120077</v>
      </c>
      <c r="NA20" s="168">
        <v>4277125</v>
      </c>
      <c r="NB20" s="168">
        <v>4277125</v>
      </c>
      <c r="NC20" s="168">
        <v>2364234</v>
      </c>
      <c r="ND20" s="168">
        <v>2411348</v>
      </c>
      <c r="NE20" s="168">
        <v>1</v>
      </c>
      <c r="NF20" s="168">
        <v>1</v>
      </c>
      <c r="NG20" s="168">
        <v>78771063</v>
      </c>
      <c r="NH20" s="168">
        <v>77950874</v>
      </c>
      <c r="NI20" s="21"/>
      <c r="NJ20" s="21"/>
      <c r="NK20" s="168">
        <v>54544</v>
      </c>
      <c r="NL20" s="168">
        <v>53912</v>
      </c>
      <c r="NM20" s="168">
        <v>69857418</v>
      </c>
      <c r="NN20" s="168">
        <v>78818978</v>
      </c>
      <c r="NO20" s="168">
        <v>150928822</v>
      </c>
      <c r="NP20" s="168">
        <v>160342237</v>
      </c>
      <c r="NQ20" s="168" t="s">
        <v>3269</v>
      </c>
      <c r="NR20" s="168" t="s">
        <v>775</v>
      </c>
      <c r="NS20" s="168" t="s">
        <v>770</v>
      </c>
      <c r="NT20" s="168" t="s">
        <v>771</v>
      </c>
      <c r="NU20" s="168">
        <v>7102</v>
      </c>
      <c r="NV20" s="168" t="s">
        <v>2104</v>
      </c>
      <c r="NW20" s="168" t="s">
        <v>28</v>
      </c>
      <c r="NX20" s="168" t="s">
        <v>25</v>
      </c>
      <c r="NY20" s="169">
        <v>42916</v>
      </c>
      <c r="NZ20" s="169">
        <v>42551</v>
      </c>
      <c r="OA20" s="169">
        <v>43087</v>
      </c>
      <c r="OB20" s="168" t="s">
        <v>1440</v>
      </c>
      <c r="OC20" s="168">
        <v>12</v>
      </c>
      <c r="OD20" s="168" t="s">
        <v>2105</v>
      </c>
      <c r="OE20" s="168" t="s">
        <v>2542</v>
      </c>
      <c r="OF20" s="168" t="s">
        <v>2543</v>
      </c>
      <c r="OG20" s="168" t="s">
        <v>2019</v>
      </c>
      <c r="OH20" s="168" t="s">
        <v>818</v>
      </c>
      <c r="OI20" s="168" t="s">
        <v>766</v>
      </c>
      <c r="OJ20" s="168" t="s">
        <v>3240</v>
      </c>
      <c r="OK20" s="168" t="s">
        <v>773</v>
      </c>
    </row>
    <row r="21" spans="1:401" x14ac:dyDescent="0.2">
      <c r="A21" s="170" t="str">
        <f>Liste[[#This Row],[Siren]]</f>
        <v>778372474</v>
      </c>
      <c r="B21" s="198" t="str">
        <f>Liste[[#This Row],[Dénomination]]&amp;" - comptes "&amp;YEAR(Liste[[#This Row],[Date de cloture de l''exercice]])</f>
        <v>SOCIETE COOPERATIVE AGRICOLE INTERVAL - comptes 2017</v>
      </c>
      <c r="C21" s="21"/>
      <c r="D21" s="21"/>
      <c r="E21" s="21"/>
      <c r="F21" s="168">
        <v>32758955</v>
      </c>
      <c r="G21" s="168">
        <v>32543643</v>
      </c>
      <c r="H21" s="21"/>
      <c r="I21" s="21"/>
      <c r="J21" s="168">
        <v>4799114</v>
      </c>
      <c r="K21" s="168">
        <v>5528840</v>
      </c>
      <c r="L21" s="21"/>
      <c r="M21" s="21"/>
      <c r="N21" s="168">
        <v>1991080</v>
      </c>
      <c r="O21" s="168">
        <v>1492816</v>
      </c>
      <c r="P21" s="21"/>
      <c r="Q21" s="21"/>
      <c r="R21" s="168">
        <v>24797</v>
      </c>
      <c r="S21" s="168">
        <v>19683</v>
      </c>
      <c r="T21" s="21"/>
      <c r="U21" s="21"/>
      <c r="V21" s="21"/>
      <c r="W21" s="21"/>
      <c r="X21" s="21"/>
      <c r="Y21" s="21"/>
      <c r="Z21" s="168">
        <v>3579070</v>
      </c>
      <c r="AA21" s="168">
        <v>3579070</v>
      </c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168">
        <v>37128</v>
      </c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168">
        <v>527294</v>
      </c>
      <c r="BA21" s="168">
        <v>833337</v>
      </c>
      <c r="BB21" s="21"/>
      <c r="BC21" s="21"/>
      <c r="BD21" s="168">
        <v>17722496</v>
      </c>
      <c r="BE21" s="168">
        <v>23604152</v>
      </c>
      <c r="BF21" s="21"/>
      <c r="BG21" s="21"/>
      <c r="BH21" s="168">
        <v>33903</v>
      </c>
      <c r="BI21" s="168">
        <v>47887</v>
      </c>
      <c r="BJ21" s="21"/>
      <c r="BK21" s="21"/>
      <c r="BL21" s="168">
        <v>31718961</v>
      </c>
      <c r="BM21" s="168">
        <v>21128463</v>
      </c>
      <c r="BN21" s="21"/>
      <c r="BO21" s="21"/>
      <c r="BP21" s="168">
        <v>438714</v>
      </c>
      <c r="BQ21" s="168">
        <v>428172</v>
      </c>
      <c r="BR21" s="21"/>
      <c r="BS21" s="21"/>
      <c r="BT21" s="21"/>
      <c r="BU21" s="21"/>
      <c r="BV21" s="21"/>
      <c r="BW21" s="21"/>
      <c r="BX21" s="168">
        <v>2077541</v>
      </c>
      <c r="BY21" s="168">
        <v>3087509</v>
      </c>
      <c r="BZ21" s="21"/>
      <c r="CA21" s="21"/>
      <c r="CB21" s="21"/>
      <c r="CC21" s="21"/>
      <c r="CD21" s="21"/>
      <c r="CE21" s="21"/>
      <c r="CF21" s="168">
        <v>5658</v>
      </c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168">
        <v>458914</v>
      </c>
      <c r="CR21" s="168">
        <v>583200</v>
      </c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168">
        <v>2355816</v>
      </c>
      <c r="DD21" s="168">
        <v>13211274</v>
      </c>
      <c r="DE21" s="21"/>
      <c r="DF21" s="21"/>
      <c r="DG21" s="168">
        <v>2331958</v>
      </c>
      <c r="DH21" s="168">
        <v>2748499</v>
      </c>
      <c r="DI21" s="21"/>
      <c r="DJ21" s="21"/>
      <c r="DK21" s="168">
        <v>24027467</v>
      </c>
      <c r="DL21" s="168">
        <v>26903189</v>
      </c>
      <c r="DM21" s="21"/>
      <c r="DN21" s="21"/>
      <c r="DO21" s="168">
        <v>869058</v>
      </c>
      <c r="DP21" s="168">
        <v>853125</v>
      </c>
      <c r="DQ21" s="21"/>
      <c r="DR21" s="21"/>
      <c r="DS21" s="168">
        <v>3652611</v>
      </c>
      <c r="DT21" s="168">
        <v>3513931</v>
      </c>
      <c r="DU21" s="21"/>
      <c r="DV21" s="21"/>
      <c r="DW21" s="168">
        <v>60093</v>
      </c>
      <c r="DX21" s="168">
        <v>56551</v>
      </c>
      <c r="DY21" s="21"/>
      <c r="DZ21" s="21"/>
      <c r="EA21" s="21"/>
      <c r="EB21" s="21"/>
      <c r="EC21" s="21"/>
      <c r="ED21" s="168">
        <v>1488348</v>
      </c>
      <c r="EE21" s="168">
        <v>1108736</v>
      </c>
      <c r="EF21" s="21"/>
      <c r="EG21" s="21"/>
      <c r="EH21" s="21"/>
      <c r="EI21" s="21"/>
      <c r="EJ21" s="21"/>
      <c r="EK21" s="21"/>
      <c r="EL21" s="168">
        <v>57018354</v>
      </c>
      <c r="EM21" s="168">
        <v>57829700</v>
      </c>
      <c r="EN21" s="21"/>
      <c r="EO21" s="21"/>
      <c r="EP21" s="168">
        <v>79819783</v>
      </c>
      <c r="EQ21" s="168">
        <v>89349499</v>
      </c>
      <c r="ER21" s="21"/>
      <c r="ES21" s="21"/>
      <c r="ET21" s="168">
        <v>136838144</v>
      </c>
      <c r="EU21" s="168">
        <v>147184866</v>
      </c>
      <c r="EV21" s="21"/>
      <c r="EW21" s="21"/>
      <c r="EX21" s="168">
        <v>5573323</v>
      </c>
      <c r="EY21" s="168">
        <v>5491314</v>
      </c>
      <c r="EZ21" s="21"/>
      <c r="FA21" s="21"/>
      <c r="FB21" s="21"/>
      <c r="FC21" s="21"/>
      <c r="FD21" s="21"/>
      <c r="FE21" s="21"/>
      <c r="FF21" s="168">
        <v>48566</v>
      </c>
      <c r="FG21" s="168">
        <v>46935</v>
      </c>
      <c r="FH21" s="21"/>
      <c r="FI21" s="168">
        <v>-222164</v>
      </c>
      <c r="FJ21" s="168">
        <v>1393506</v>
      </c>
      <c r="FK21" s="21"/>
      <c r="FL21" s="21"/>
      <c r="FM21" s="168">
        <v>715809</v>
      </c>
      <c r="FN21" s="168">
        <v>377044</v>
      </c>
      <c r="FO21" s="168">
        <v>146780</v>
      </c>
      <c r="FP21" s="168">
        <v>188510</v>
      </c>
      <c r="FQ21" s="168">
        <v>5658</v>
      </c>
      <c r="FR21" s="168">
        <v>5654</v>
      </c>
      <c r="FS21" s="168">
        <v>17408</v>
      </c>
      <c r="FT21" s="168">
        <v>26204</v>
      </c>
      <c r="FU21" s="168">
        <v>31685</v>
      </c>
      <c r="FV21" s="168">
        <v>-80413</v>
      </c>
      <c r="FW21" s="168">
        <v>-611</v>
      </c>
      <c r="FX21" s="168">
        <v>-101698</v>
      </c>
      <c r="FY21" s="168">
        <v>-648</v>
      </c>
      <c r="FZ21" s="21"/>
      <c r="GA21" s="21"/>
      <c r="GB21" s="21"/>
      <c r="GC21" s="168">
        <v>140757</v>
      </c>
      <c r="GD21" s="168">
        <v>840210</v>
      </c>
      <c r="GE21" s="168">
        <v>257333</v>
      </c>
      <c r="GF21" s="168">
        <v>350859</v>
      </c>
      <c r="GG21" s="21"/>
      <c r="GH21" s="21"/>
      <c r="GI21" s="21"/>
      <c r="GJ21" s="21"/>
      <c r="GK21" s="168">
        <v>259743</v>
      </c>
      <c r="GL21" s="168">
        <v>794195</v>
      </c>
      <c r="GM21" s="168">
        <v>729325</v>
      </c>
      <c r="GN21" s="168">
        <v>-664892</v>
      </c>
      <c r="GO21" s="168">
        <v>734983</v>
      </c>
      <c r="GP21" s="168">
        <v>-878053</v>
      </c>
      <c r="GQ21" s="21"/>
      <c r="GR21" s="168">
        <v>218815</v>
      </c>
      <c r="GS21" s="168">
        <v>729973</v>
      </c>
      <c r="GT21" s="168">
        <v>-664892</v>
      </c>
      <c r="GU21" s="168">
        <v>879997</v>
      </c>
      <c r="GV21" s="168">
        <v>591758</v>
      </c>
      <c r="GW21" s="168">
        <v>657833</v>
      </c>
      <c r="GX21" s="168">
        <v>1985264</v>
      </c>
      <c r="GY21" s="168">
        <v>133403324</v>
      </c>
      <c r="GZ21" s="168">
        <v>168440054</v>
      </c>
      <c r="HA21" s="168">
        <v>2555739</v>
      </c>
      <c r="HB21" s="168">
        <v>1674009</v>
      </c>
      <c r="HC21" s="168">
        <v>14785360</v>
      </c>
      <c r="HD21" s="168">
        <v>15974160</v>
      </c>
      <c r="HE21" s="168">
        <v>227235</v>
      </c>
      <c r="HF21" s="168">
        <v>276395</v>
      </c>
      <c r="HG21" s="168">
        <v>475673</v>
      </c>
      <c r="HH21" s="168">
        <v>755374</v>
      </c>
      <c r="HI21" s="168">
        <v>154406</v>
      </c>
      <c r="HJ21" s="168">
        <v>215772</v>
      </c>
      <c r="HK21" s="21"/>
      <c r="HL21" s="21"/>
      <c r="HM21" s="21"/>
      <c r="HN21" s="21"/>
      <c r="HO21" s="168">
        <v>5921803</v>
      </c>
      <c r="HP21" s="168">
        <v>6038331</v>
      </c>
      <c r="HQ21" s="21"/>
      <c r="HR21" s="168">
        <v>1807</v>
      </c>
      <c r="HS21" s="168">
        <v>266</v>
      </c>
      <c r="HT21" s="21"/>
      <c r="HU21" s="168">
        <v>5092184</v>
      </c>
      <c r="HV21" s="168">
        <v>5118294</v>
      </c>
      <c r="HW21" s="21"/>
      <c r="HX21" s="21"/>
      <c r="HY21" s="168">
        <v>226066</v>
      </c>
      <c r="HZ21" s="168">
        <v>3741</v>
      </c>
      <c r="IA21" s="168">
        <v>1258987</v>
      </c>
      <c r="IB21" s="168">
        <v>1429977</v>
      </c>
      <c r="IC21" s="21"/>
      <c r="ID21" s="21"/>
      <c r="IE21" s="168">
        <v>2360715</v>
      </c>
      <c r="IF21" s="168">
        <v>2410489</v>
      </c>
      <c r="IG21" s="168">
        <v>572163</v>
      </c>
      <c r="IH21" s="168">
        <v>709995</v>
      </c>
      <c r="II21" s="21"/>
      <c r="IJ21" s="21"/>
      <c r="IK21" s="21"/>
      <c r="IL21" s="168">
        <v>15047</v>
      </c>
      <c r="IM21" s="168">
        <v>379612</v>
      </c>
      <c r="IN21" s="168">
        <v>-363239</v>
      </c>
      <c r="IO21" s="21"/>
      <c r="IP21" s="21"/>
      <c r="IQ21" s="168">
        <v>32475</v>
      </c>
      <c r="IR21" s="168">
        <v>24684</v>
      </c>
      <c r="IS21" s="21"/>
      <c r="IT21" s="21"/>
      <c r="IU21" s="168">
        <v>988221</v>
      </c>
      <c r="IV21" s="168">
        <v>-2453670</v>
      </c>
      <c r="IW21" s="168">
        <v>1051962</v>
      </c>
      <c r="IX21" s="168">
        <v>-2616274</v>
      </c>
      <c r="IY21" s="168">
        <v>-63741</v>
      </c>
      <c r="IZ21" s="168">
        <v>162604</v>
      </c>
      <c r="JA21" s="168">
        <v>1524466</v>
      </c>
      <c r="JB21" s="168">
        <v>1619010</v>
      </c>
      <c r="JC21" s="21"/>
      <c r="JD21" s="168">
        <v>94346</v>
      </c>
      <c r="JE21" s="168">
        <v>13325572</v>
      </c>
      <c r="JF21" s="168">
        <v>13486800</v>
      </c>
      <c r="JG21" s="168">
        <v>193366</v>
      </c>
      <c r="JH21" s="168">
        <v>83734</v>
      </c>
      <c r="JI21" s="168">
        <v>182128187</v>
      </c>
      <c r="JJ21" s="168">
        <v>211345810</v>
      </c>
      <c r="JK21" s="168">
        <v>572165</v>
      </c>
      <c r="JL21" s="168">
        <v>711810</v>
      </c>
      <c r="JM21" s="168">
        <v>2251850</v>
      </c>
      <c r="JN21" s="168">
        <v>1570324</v>
      </c>
      <c r="JO21" s="168">
        <v>508424</v>
      </c>
      <c r="JP21" s="168">
        <v>874414</v>
      </c>
      <c r="JQ21" s="168">
        <v>2955488</v>
      </c>
      <c r="JR21" s="168">
        <v>-3360162</v>
      </c>
      <c r="JS21" s="168">
        <v>15714</v>
      </c>
      <c r="JT21" s="168">
        <v>-146278</v>
      </c>
      <c r="JU21" s="21"/>
      <c r="JV21" s="21"/>
      <c r="JW21" s="168">
        <v>178578545</v>
      </c>
      <c r="JX21" s="168">
        <v>204679738</v>
      </c>
      <c r="JY21" s="21"/>
      <c r="JZ21" s="21"/>
      <c r="KA21" s="168">
        <v>4626818</v>
      </c>
      <c r="KB21" s="168">
        <v>4142643</v>
      </c>
      <c r="KC21" s="21"/>
      <c r="KD21" s="21"/>
      <c r="KE21" s="168">
        <v>3056988</v>
      </c>
      <c r="KF21" s="168">
        <v>4079615</v>
      </c>
      <c r="KG21" s="21"/>
      <c r="KH21" s="21"/>
      <c r="KI21" s="168">
        <v>170594739</v>
      </c>
      <c r="KJ21" s="168">
        <v>196457480</v>
      </c>
      <c r="KK21" s="21"/>
      <c r="KL21" s="21"/>
      <c r="KM21" s="21"/>
      <c r="KN21" s="21"/>
      <c r="KO21" s="21"/>
      <c r="KP21" s="21"/>
      <c r="KQ21" s="168">
        <v>1647510</v>
      </c>
      <c r="KR21" s="168">
        <v>1524451</v>
      </c>
      <c r="KS21" s="21"/>
      <c r="KT21" s="21"/>
      <c r="KU21" s="168">
        <v>271922</v>
      </c>
      <c r="KV21" s="168">
        <v>271922</v>
      </c>
      <c r="KW21" s="168">
        <v>31456</v>
      </c>
      <c r="KX21" s="21"/>
      <c r="KY21" s="21"/>
      <c r="KZ21" s="21"/>
      <c r="LA21" s="168">
        <v>5956704</v>
      </c>
      <c r="LB21" s="168">
        <v>6050592</v>
      </c>
      <c r="LC21" s="21"/>
      <c r="LD21" s="21"/>
      <c r="LE21" s="168">
        <v>-648</v>
      </c>
      <c r="LF21" s="21"/>
      <c r="LG21" s="21"/>
      <c r="LH21" s="21"/>
      <c r="LI21" s="168">
        <v>7082692</v>
      </c>
      <c r="LJ21" s="168">
        <v>7977942</v>
      </c>
      <c r="LK21" s="168">
        <v>8368409</v>
      </c>
      <c r="LL21" s="168">
        <v>8861386</v>
      </c>
      <c r="LM21" s="168">
        <v>5699</v>
      </c>
      <c r="LN21" s="168">
        <v>35282</v>
      </c>
      <c r="LO21" s="21"/>
      <c r="LP21" s="21"/>
      <c r="LQ21" s="21"/>
      <c r="LR21" s="21"/>
      <c r="LS21" s="21"/>
      <c r="LT21" s="21"/>
      <c r="LU21" s="21"/>
      <c r="LV21" s="21"/>
      <c r="LW21" s="168">
        <v>748778</v>
      </c>
      <c r="LX21" s="168">
        <v>748778</v>
      </c>
      <c r="LY21" s="21"/>
      <c r="LZ21" s="21"/>
      <c r="MA21" s="168">
        <v>73960973</v>
      </c>
      <c r="MB21" s="168">
        <v>83604166</v>
      </c>
      <c r="MC21" s="168">
        <v>1040425</v>
      </c>
      <c r="MD21" s="168">
        <v>526994</v>
      </c>
      <c r="ME21" s="21"/>
      <c r="MF21" s="21"/>
      <c r="MG21" s="21"/>
      <c r="MH21" s="21"/>
      <c r="MI21" s="21"/>
      <c r="MJ21" s="21"/>
      <c r="MK21" s="21"/>
      <c r="ML21" s="21"/>
      <c r="MM21" s="168">
        <v>21703</v>
      </c>
      <c r="MN21" s="168">
        <v>292090</v>
      </c>
      <c r="MO21" s="168">
        <v>1909195</v>
      </c>
      <c r="MP21" s="168">
        <v>1910591</v>
      </c>
      <c r="MQ21" s="168">
        <v>17408</v>
      </c>
      <c r="MR21" s="168">
        <v>134736</v>
      </c>
      <c r="MS21" s="21"/>
      <c r="MT21" s="21"/>
      <c r="MU21" s="21"/>
      <c r="MV21" s="168">
        <v>-15954</v>
      </c>
      <c r="MW21" s="168">
        <v>6142330</v>
      </c>
      <c r="MX21" s="168">
        <v>6142330</v>
      </c>
      <c r="MY21" s="168">
        <v>6353849</v>
      </c>
      <c r="MZ21" s="168">
        <v>6231999</v>
      </c>
      <c r="NA21" s="168">
        <v>24823328</v>
      </c>
      <c r="NB21" s="168">
        <v>24748588</v>
      </c>
      <c r="NC21" s="168">
        <v>729973</v>
      </c>
      <c r="ND21" s="168">
        <v>-664892</v>
      </c>
      <c r="NE21" s="21"/>
      <c r="NF21" s="168">
        <v>-3</v>
      </c>
      <c r="NG21" s="168">
        <v>42753313</v>
      </c>
      <c r="NH21" s="168">
        <v>42317219</v>
      </c>
      <c r="NI21" s="168">
        <v>31456</v>
      </c>
      <c r="NJ21" s="21"/>
      <c r="NK21" s="168">
        <v>-644</v>
      </c>
      <c r="NL21" s="168">
        <v>4</v>
      </c>
      <c r="NM21" s="168">
        <v>92127411</v>
      </c>
      <c r="NN21" s="168">
        <v>102822311</v>
      </c>
      <c r="NO21" s="168">
        <v>136838144</v>
      </c>
      <c r="NP21" s="168">
        <v>147184866</v>
      </c>
      <c r="NQ21" s="168" t="s">
        <v>1436</v>
      </c>
      <c r="NR21" s="168" t="s">
        <v>775</v>
      </c>
      <c r="NS21" s="168" t="s">
        <v>770</v>
      </c>
      <c r="NT21" s="168" t="s">
        <v>771</v>
      </c>
      <c r="NU21" s="168">
        <v>7001</v>
      </c>
      <c r="NV21" s="168" t="s">
        <v>2104</v>
      </c>
      <c r="NW21" s="168" t="s">
        <v>28</v>
      </c>
      <c r="NX21" s="168" t="s">
        <v>25</v>
      </c>
      <c r="NY21" s="169">
        <v>42916</v>
      </c>
      <c r="NZ21" s="169">
        <v>42551</v>
      </c>
      <c r="OA21" s="169">
        <v>43082</v>
      </c>
      <c r="OB21" s="168" t="s">
        <v>1437</v>
      </c>
      <c r="OC21" s="168">
        <v>12</v>
      </c>
      <c r="OD21" s="168" t="s">
        <v>2105</v>
      </c>
      <c r="OE21" s="168" t="s">
        <v>2246</v>
      </c>
      <c r="OF21" s="168" t="s">
        <v>2539</v>
      </c>
      <c r="OG21" s="168" t="s">
        <v>2017</v>
      </c>
      <c r="OH21" s="168" t="s">
        <v>815</v>
      </c>
      <c r="OI21" s="168" t="s">
        <v>766</v>
      </c>
      <c r="OJ21" s="168" t="s">
        <v>3240</v>
      </c>
      <c r="OK21" s="168" t="s">
        <v>773</v>
      </c>
    </row>
    <row r="22" spans="1:401" x14ac:dyDescent="0.2">
      <c r="A22" s="170" t="str">
        <f>Liste[[#This Row],[Siren]]</f>
        <v>509556908</v>
      </c>
      <c r="B22" s="198" t="str">
        <f>Liste[[#This Row],[Dénomination]]&amp;" - comptes "&amp;YEAR(Liste[[#This Row],[Date de cloture de l''exercice]])</f>
        <v>J.P.J.D. SCA - comptes 2017</v>
      </c>
      <c r="C22" s="21"/>
      <c r="D22" s="21"/>
      <c r="E22" s="21"/>
      <c r="F22" s="168">
        <v>82427000</v>
      </c>
      <c r="G22" s="168">
        <v>73101000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168">
        <v>44980000</v>
      </c>
      <c r="CF22" s="168">
        <v>23926000</v>
      </c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168">
        <v>203783000</v>
      </c>
      <c r="EM22" s="168">
        <v>169927000</v>
      </c>
      <c r="EN22" s="21"/>
      <c r="EO22" s="21"/>
      <c r="EP22" s="168">
        <v>238299000</v>
      </c>
      <c r="EQ22" s="168">
        <v>225884000</v>
      </c>
      <c r="ER22" s="21"/>
      <c r="ES22" s="21"/>
      <c r="ET22" s="168">
        <v>442105000</v>
      </c>
      <c r="EU22" s="168">
        <v>396664000</v>
      </c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168">
        <v>-2701000</v>
      </c>
      <c r="FX22" s="168">
        <v>-1180000</v>
      </c>
      <c r="FY22" s="168">
        <v>6178000</v>
      </c>
      <c r="FZ22" s="168">
        <v>6312000</v>
      </c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168">
        <v>16213000</v>
      </c>
      <c r="GN22" s="168">
        <v>16740000</v>
      </c>
      <c r="GO22" s="21"/>
      <c r="GP22" s="21"/>
      <c r="GQ22" s="21"/>
      <c r="GR22" s="21"/>
      <c r="GS22" s="168">
        <v>10034000</v>
      </c>
      <c r="GT22" s="168">
        <v>10428000</v>
      </c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168">
        <v>12081000</v>
      </c>
      <c r="HV22" s="168">
        <v>11197000</v>
      </c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168">
        <v>18863000</v>
      </c>
      <c r="IV22" s="168">
        <v>20333000</v>
      </c>
      <c r="IW22" s="168">
        <v>21256000</v>
      </c>
      <c r="IX22" s="168">
        <v>20537000</v>
      </c>
      <c r="IY22" s="168">
        <v>-2393000</v>
      </c>
      <c r="IZ22" s="168">
        <v>-204000</v>
      </c>
      <c r="JA22" s="21"/>
      <c r="JB22" s="21"/>
      <c r="JC22" s="21"/>
      <c r="JD22" s="21"/>
      <c r="JE22" s="21"/>
      <c r="JF22" s="21"/>
      <c r="JG22" s="21"/>
      <c r="JH22" s="21"/>
      <c r="JI22" s="168">
        <v>753676000</v>
      </c>
      <c r="JJ22" s="168">
        <v>696729000</v>
      </c>
      <c r="JK22" s="21"/>
      <c r="JL22" s="21"/>
      <c r="JM22" s="168">
        <v>774932000</v>
      </c>
      <c r="JN22" s="168">
        <v>717266000</v>
      </c>
      <c r="JO22" s="21"/>
      <c r="JP22" s="21"/>
      <c r="JQ22" s="21"/>
      <c r="JR22" s="21"/>
      <c r="JS22" s="21"/>
      <c r="JT22" s="21"/>
      <c r="JU22" s="21"/>
      <c r="JV22" s="21"/>
      <c r="JW22" s="168">
        <v>774932000</v>
      </c>
      <c r="JX22" s="168">
        <v>717266000</v>
      </c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21"/>
      <c r="KP22" s="21"/>
      <c r="KQ22" s="168">
        <v>61523000</v>
      </c>
      <c r="KR22" s="168">
        <v>57094000</v>
      </c>
      <c r="KS22" s="21"/>
      <c r="KT22" s="21"/>
      <c r="KU22" s="21"/>
      <c r="KV22" s="21"/>
      <c r="KW22" s="21"/>
      <c r="KX22" s="21"/>
      <c r="KY22" s="21"/>
      <c r="KZ22" s="21"/>
      <c r="LA22" s="168">
        <v>14014000</v>
      </c>
      <c r="LB22" s="168">
        <v>14014000</v>
      </c>
      <c r="LC22" s="21"/>
      <c r="LD22" s="21"/>
      <c r="LE22" s="21"/>
      <c r="LF22" s="21"/>
      <c r="LG22" s="21"/>
      <c r="LH22" s="21"/>
      <c r="LI22" s="21"/>
      <c r="LJ22" s="21"/>
      <c r="LK22" s="168">
        <v>77707000</v>
      </c>
      <c r="LL22" s="168">
        <v>69345000</v>
      </c>
      <c r="LM22" s="21"/>
      <c r="LN22" s="21"/>
      <c r="LO22" s="21"/>
      <c r="LP22" s="21"/>
      <c r="LQ22" s="21"/>
      <c r="LR22" s="21"/>
      <c r="LS22" s="21"/>
      <c r="LT22" s="21"/>
      <c r="LU22" s="21"/>
      <c r="LV22" s="21"/>
      <c r="LW22" s="21"/>
      <c r="LX22" s="21"/>
      <c r="LY22" s="21"/>
      <c r="LZ22" s="21"/>
      <c r="MA22" s="21"/>
      <c r="MB22" s="21"/>
      <c r="MC22" s="21"/>
      <c r="MD22" s="21"/>
      <c r="ME22" s="21"/>
      <c r="MF22" s="21"/>
      <c r="MG22" s="168">
        <v>7766000</v>
      </c>
      <c r="MH22" s="168">
        <v>13285000</v>
      </c>
      <c r="MI22" s="168">
        <v>9206000</v>
      </c>
      <c r="MJ22" s="168">
        <v>9558000</v>
      </c>
      <c r="MK22" s="21"/>
      <c r="ML22" s="21"/>
      <c r="MM22" s="21"/>
      <c r="MN22" s="21"/>
      <c r="MO22" s="21"/>
      <c r="MP22" s="21"/>
      <c r="MQ22" s="21"/>
      <c r="MR22" s="21"/>
      <c r="MS22" s="21"/>
      <c r="MT22" s="21"/>
      <c r="MU22" s="21"/>
      <c r="MV22" s="21"/>
      <c r="MW22" s="168">
        <v>101012000</v>
      </c>
      <c r="MX22" s="168">
        <v>97351000</v>
      </c>
      <c r="MY22" s="21"/>
      <c r="MZ22" s="21"/>
      <c r="NA22" s="21"/>
      <c r="NB22" s="21"/>
      <c r="NC22" s="21"/>
      <c r="ND22" s="21"/>
      <c r="NE22" s="21"/>
      <c r="NF22" s="21"/>
      <c r="NG22" s="168">
        <v>195565000</v>
      </c>
      <c r="NH22" s="168">
        <v>191036000</v>
      </c>
      <c r="NI22" s="21"/>
      <c r="NJ22" s="21"/>
      <c r="NK22" s="21"/>
      <c r="NL22" s="21"/>
      <c r="NM22" s="168">
        <v>217438000</v>
      </c>
      <c r="NN22" s="168">
        <v>174610000</v>
      </c>
      <c r="NO22" s="168">
        <v>442105000</v>
      </c>
      <c r="NP22" s="168">
        <v>396664000</v>
      </c>
      <c r="NQ22" s="168" t="s">
        <v>1211</v>
      </c>
      <c r="NR22" s="168" t="s">
        <v>769</v>
      </c>
      <c r="NS22" s="168" t="s">
        <v>770</v>
      </c>
      <c r="NT22" s="168" t="s">
        <v>771</v>
      </c>
      <c r="NU22" s="168">
        <v>5910</v>
      </c>
      <c r="NV22" s="168" t="s">
        <v>2104</v>
      </c>
      <c r="NW22" s="168" t="s">
        <v>28</v>
      </c>
      <c r="NX22" s="168" t="s">
        <v>25</v>
      </c>
      <c r="NY22" s="169">
        <v>42916</v>
      </c>
      <c r="NZ22" s="169">
        <v>42551</v>
      </c>
      <c r="OA22" s="169">
        <v>43091</v>
      </c>
      <c r="OB22" s="168" t="s">
        <v>3270</v>
      </c>
      <c r="OC22" s="168">
        <v>12</v>
      </c>
      <c r="OD22" s="168" t="s">
        <v>2105</v>
      </c>
      <c r="OE22" s="168" t="s">
        <v>2590</v>
      </c>
      <c r="OF22" s="168" t="s">
        <v>3271</v>
      </c>
      <c r="OG22" s="168" t="s">
        <v>3272</v>
      </c>
      <c r="OH22" s="168" t="s">
        <v>907</v>
      </c>
      <c r="OI22" s="168" t="s">
        <v>766</v>
      </c>
      <c r="OJ22" s="168" t="s">
        <v>3240</v>
      </c>
      <c r="OK22" s="168" t="s">
        <v>767</v>
      </c>
    </row>
    <row r="23" spans="1:401" x14ac:dyDescent="0.2">
      <c r="A23" s="170" t="str">
        <f>Liste[[#This Row],[Siren]]</f>
        <v>499328698</v>
      </c>
      <c r="B23" s="198" t="str">
        <f>Liste[[#This Row],[Dénomination]]&amp;" - comptes "&amp;YEAR(Liste[[#This Row],[Date de cloture de l''exercice]])</f>
        <v>AMBEMAR - comptes 2017</v>
      </c>
      <c r="C23" s="21"/>
      <c r="D23" s="21"/>
      <c r="E23" s="21"/>
      <c r="F23" s="168">
        <v>1914513</v>
      </c>
      <c r="G23" s="168">
        <v>1521782</v>
      </c>
      <c r="H23" s="168">
        <v>1914513</v>
      </c>
      <c r="I23" s="168">
        <v>235617</v>
      </c>
      <c r="J23" s="168">
        <v>95423</v>
      </c>
      <c r="K23" s="168">
        <v>52813</v>
      </c>
      <c r="L23" s="168">
        <v>331040</v>
      </c>
      <c r="M23" s="21"/>
      <c r="N23" s="168">
        <v>1105</v>
      </c>
      <c r="O23" s="168">
        <v>40093</v>
      </c>
      <c r="P23" s="168">
        <v>1105</v>
      </c>
      <c r="Q23" s="21"/>
      <c r="R23" s="21"/>
      <c r="S23" s="21"/>
      <c r="T23" s="21"/>
      <c r="U23" s="168">
        <v>1</v>
      </c>
      <c r="V23" s="21"/>
      <c r="W23" s="21"/>
      <c r="X23" s="168">
        <v>1</v>
      </c>
      <c r="Y23" s="21"/>
      <c r="Z23" s="168">
        <v>20000</v>
      </c>
      <c r="AA23" s="168">
        <v>28280</v>
      </c>
      <c r="AB23" s="168">
        <v>20000</v>
      </c>
      <c r="AC23" s="21"/>
      <c r="AD23" s="21"/>
      <c r="AE23" s="21"/>
      <c r="AF23" s="21"/>
      <c r="AG23" s="21"/>
      <c r="AH23" s="21"/>
      <c r="AI23" s="21"/>
      <c r="AJ23" s="21"/>
      <c r="AK23" s="21"/>
      <c r="AL23" s="168">
        <v>33390</v>
      </c>
      <c r="AM23" s="168">
        <v>5778</v>
      </c>
      <c r="AN23" s="168">
        <v>33390</v>
      </c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168">
        <v>223677</v>
      </c>
      <c r="BA23" s="168">
        <v>126831</v>
      </c>
      <c r="BB23" s="168">
        <v>223677</v>
      </c>
      <c r="BC23" s="168">
        <v>367728</v>
      </c>
      <c r="BD23" s="168">
        <v>10553980</v>
      </c>
      <c r="BE23" s="168">
        <v>6504401</v>
      </c>
      <c r="BF23" s="168">
        <v>10921708</v>
      </c>
      <c r="BG23" s="168">
        <v>176028</v>
      </c>
      <c r="BH23" s="168">
        <v>32857</v>
      </c>
      <c r="BI23" s="168">
        <v>6767</v>
      </c>
      <c r="BJ23" s="168">
        <v>208885</v>
      </c>
      <c r="BK23" s="168">
        <v>331709</v>
      </c>
      <c r="BL23" s="168">
        <v>2389386</v>
      </c>
      <c r="BM23" s="168">
        <v>398719</v>
      </c>
      <c r="BN23" s="168">
        <v>2721095</v>
      </c>
      <c r="BO23" s="21"/>
      <c r="BP23" s="21"/>
      <c r="BQ23" s="21"/>
      <c r="BR23" s="21"/>
      <c r="BS23" s="21"/>
      <c r="BT23" s="21"/>
      <c r="BU23" s="21"/>
      <c r="BV23" s="21"/>
      <c r="BW23" s="21"/>
      <c r="BX23" s="168">
        <v>3600564</v>
      </c>
      <c r="BY23" s="168">
        <v>2670050</v>
      </c>
      <c r="BZ23" s="168">
        <v>3600564</v>
      </c>
      <c r="CA23" s="21"/>
      <c r="CB23" s="21"/>
      <c r="CC23" s="21"/>
      <c r="CD23" s="168">
        <v>1520134</v>
      </c>
      <c r="CE23" s="168">
        <v>2539873</v>
      </c>
      <c r="CF23" s="168">
        <v>182380</v>
      </c>
      <c r="CG23" s="168">
        <v>4060007</v>
      </c>
      <c r="CH23" s="168">
        <v>77314</v>
      </c>
      <c r="CI23" s="168">
        <v>445106</v>
      </c>
      <c r="CJ23" s="168">
        <v>260876</v>
      </c>
      <c r="CK23" s="168">
        <v>522420</v>
      </c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168">
        <v>164712</v>
      </c>
      <c r="DD23" s="168">
        <v>216769</v>
      </c>
      <c r="DE23" s="168">
        <v>164712</v>
      </c>
      <c r="DF23" s="168">
        <v>6086931</v>
      </c>
      <c r="DG23" s="168">
        <v>2733055</v>
      </c>
      <c r="DH23" s="168">
        <v>1006182</v>
      </c>
      <c r="DI23" s="168">
        <v>8819986</v>
      </c>
      <c r="DJ23" s="21"/>
      <c r="DK23" s="168">
        <v>2132230</v>
      </c>
      <c r="DL23" s="168">
        <v>1435266</v>
      </c>
      <c r="DM23" s="168">
        <v>2132230</v>
      </c>
      <c r="DN23" s="168">
        <v>241767</v>
      </c>
      <c r="DO23" s="168">
        <v>2063470</v>
      </c>
      <c r="DP23" s="168">
        <v>1260039</v>
      </c>
      <c r="DQ23" s="168">
        <v>2305237</v>
      </c>
      <c r="DR23" s="21"/>
      <c r="DS23" s="21"/>
      <c r="DT23" s="21"/>
      <c r="DU23" s="21"/>
      <c r="DV23" s="168">
        <v>1258114</v>
      </c>
      <c r="DW23" s="21"/>
      <c r="DX23" s="21"/>
      <c r="DY23" s="168">
        <v>1258114</v>
      </c>
      <c r="DZ23" s="21"/>
      <c r="EA23" s="21"/>
      <c r="EB23" s="21"/>
      <c r="EC23" s="168">
        <v>194923</v>
      </c>
      <c r="ED23" s="168">
        <v>1527041</v>
      </c>
      <c r="EE23" s="168">
        <v>1517143</v>
      </c>
      <c r="EF23" s="168">
        <v>1721964</v>
      </c>
      <c r="EG23" s="21"/>
      <c r="EH23" s="21"/>
      <c r="EI23" s="21"/>
      <c r="EJ23" s="21"/>
      <c r="EK23" s="168">
        <v>9638184</v>
      </c>
      <c r="EL23" s="168">
        <v>8001135</v>
      </c>
      <c r="EM23" s="168">
        <v>1949626</v>
      </c>
      <c r="EN23" s="168">
        <v>17639319</v>
      </c>
      <c r="EO23" s="168">
        <v>909122</v>
      </c>
      <c r="EP23" s="168">
        <v>25784655</v>
      </c>
      <c r="EQ23" s="168">
        <v>17840539</v>
      </c>
      <c r="ER23" s="168">
        <v>26693777</v>
      </c>
      <c r="ES23" s="168">
        <v>10547306</v>
      </c>
      <c r="ET23" s="168">
        <v>33785790</v>
      </c>
      <c r="EU23" s="168">
        <v>19790165</v>
      </c>
      <c r="EV23" s="168">
        <v>44333096</v>
      </c>
      <c r="EW23" s="168">
        <v>29650</v>
      </c>
      <c r="EX23" s="168">
        <v>24720</v>
      </c>
      <c r="EY23" s="168">
        <v>17619</v>
      </c>
      <c r="EZ23" s="168">
        <v>54370</v>
      </c>
      <c r="FA23" s="21"/>
      <c r="FB23" s="21"/>
      <c r="FC23" s="21"/>
      <c r="FD23" s="21"/>
      <c r="FE23" s="168">
        <v>27390</v>
      </c>
      <c r="FF23" s="168">
        <v>3290684</v>
      </c>
      <c r="FG23" s="168">
        <v>2538373</v>
      </c>
      <c r="FH23" s="168">
        <v>3318074</v>
      </c>
      <c r="FI23" s="168">
        <v>-13958</v>
      </c>
      <c r="FJ23" s="168">
        <v>-1040830</v>
      </c>
      <c r="FK23" s="21"/>
      <c r="FL23" s="21"/>
      <c r="FM23" s="21"/>
      <c r="FN23" s="21"/>
      <c r="FO23" s="21"/>
      <c r="FP23" s="21"/>
      <c r="FQ23" s="21"/>
      <c r="FR23" s="168">
        <v>170251</v>
      </c>
      <c r="FS23" s="21"/>
      <c r="FT23" s="21"/>
      <c r="FU23" s="21"/>
      <c r="FV23" s="21"/>
      <c r="FW23" s="168">
        <v>985567</v>
      </c>
      <c r="FX23" s="168">
        <v>-8063</v>
      </c>
      <c r="FY23" s="21"/>
      <c r="FZ23" s="21"/>
      <c r="GA23" s="168">
        <v>228476</v>
      </c>
      <c r="GB23" s="168">
        <v>150706</v>
      </c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168">
        <v>2931661</v>
      </c>
      <c r="GN23" s="168">
        <v>879081</v>
      </c>
      <c r="GO23" s="168">
        <v>2931661</v>
      </c>
      <c r="GP23" s="168">
        <v>879081</v>
      </c>
      <c r="GQ23" s="21"/>
      <c r="GR23" s="21"/>
      <c r="GS23" s="168">
        <v>2931661</v>
      </c>
      <c r="GT23" s="168">
        <v>879081</v>
      </c>
      <c r="GU23" s="21"/>
      <c r="GV23" s="21"/>
      <c r="GW23" s="21"/>
      <c r="GX23" s="21"/>
      <c r="GY23" s="168">
        <v>1429328</v>
      </c>
      <c r="GZ23" s="168">
        <v>1221450</v>
      </c>
      <c r="HA23" s="21"/>
      <c r="HB23" s="21"/>
      <c r="HC23" s="168">
        <v>28755165</v>
      </c>
      <c r="HD23" s="168">
        <v>16759251</v>
      </c>
      <c r="HE23" s="168">
        <v>2513</v>
      </c>
      <c r="HF23" s="168">
        <v>646</v>
      </c>
      <c r="HG23" s="168">
        <v>45861</v>
      </c>
      <c r="HH23" s="168">
        <v>89567</v>
      </c>
      <c r="HI23" s="168">
        <v>43700</v>
      </c>
      <c r="HJ23" s="168">
        <v>37060</v>
      </c>
      <c r="HK23" s="21"/>
      <c r="HL23" s="21"/>
      <c r="HM23" s="168">
        <v>122</v>
      </c>
      <c r="HN23" s="168">
        <v>3249</v>
      </c>
      <c r="HO23" s="21"/>
      <c r="HP23" s="21"/>
      <c r="HQ23" s="168">
        <v>400</v>
      </c>
      <c r="HR23" s="168">
        <v>62</v>
      </c>
      <c r="HS23" s="168">
        <v>36711</v>
      </c>
      <c r="HT23" s="168">
        <v>249</v>
      </c>
      <c r="HU23" s="168">
        <v>858960</v>
      </c>
      <c r="HV23" s="168">
        <v>465644</v>
      </c>
      <c r="HW23" s="21"/>
      <c r="HX23" s="21"/>
      <c r="HY23" s="168">
        <v>135974</v>
      </c>
      <c r="HZ23" s="168">
        <v>266920</v>
      </c>
      <c r="IA23" s="168">
        <v>523564</v>
      </c>
      <c r="IB23" s="168">
        <v>275336</v>
      </c>
      <c r="IC23" s="168">
        <v>27390</v>
      </c>
      <c r="ID23" s="168">
        <v>168442</v>
      </c>
      <c r="IE23" s="168">
        <v>776036</v>
      </c>
      <c r="IF23" s="168">
        <v>492989</v>
      </c>
      <c r="IG23" s="168">
        <v>101908</v>
      </c>
      <c r="IH23" s="168">
        <v>53230</v>
      </c>
      <c r="II23" s="21"/>
      <c r="IJ23" s="21"/>
      <c r="IK23" s="21"/>
      <c r="IL23" s="21"/>
      <c r="IM23" s="168">
        <v>1410909</v>
      </c>
      <c r="IN23" s="168">
        <v>1043340</v>
      </c>
      <c r="IO23" s="21"/>
      <c r="IP23" s="21"/>
      <c r="IQ23" s="168">
        <v>3883</v>
      </c>
      <c r="IR23" s="21"/>
      <c r="IS23" s="21"/>
      <c r="IT23" s="21"/>
      <c r="IU23" s="168">
        <v>4159662</v>
      </c>
      <c r="IV23" s="168">
        <v>2232805</v>
      </c>
      <c r="IW23" s="168">
        <v>4034585</v>
      </c>
      <c r="IX23" s="168">
        <v>2361672</v>
      </c>
      <c r="IY23" s="168">
        <v>125077</v>
      </c>
      <c r="IZ23" s="168">
        <v>-128867</v>
      </c>
      <c r="JA23" s="168">
        <v>593484</v>
      </c>
      <c r="JB23" s="168">
        <v>526410</v>
      </c>
      <c r="JC23" s="21"/>
      <c r="JD23" s="21"/>
      <c r="JE23" s="21"/>
      <c r="JF23" s="21"/>
      <c r="JG23" s="21"/>
      <c r="JH23" s="21"/>
      <c r="JI23" s="168">
        <v>44185863</v>
      </c>
      <c r="JJ23" s="168">
        <v>27853855</v>
      </c>
      <c r="JK23" s="168">
        <v>129820</v>
      </c>
      <c r="JL23" s="168">
        <v>224983</v>
      </c>
      <c r="JM23" s="168">
        <v>48220448</v>
      </c>
      <c r="JN23" s="168">
        <v>30215527</v>
      </c>
      <c r="JO23" s="168">
        <v>254897</v>
      </c>
      <c r="JP23" s="168">
        <v>96116</v>
      </c>
      <c r="JQ23" s="21"/>
      <c r="JR23" s="21"/>
      <c r="JS23" s="21"/>
      <c r="JT23" s="21"/>
      <c r="JU23" s="21"/>
      <c r="JV23" s="21"/>
      <c r="JW23" s="168">
        <v>46172355</v>
      </c>
      <c r="JX23" s="168">
        <v>286420710</v>
      </c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168">
        <v>2331346</v>
      </c>
      <c r="KJ23" s="168">
        <v>1882301</v>
      </c>
      <c r="KK23" s="21"/>
      <c r="KL23" s="21"/>
      <c r="KM23" s="21"/>
      <c r="KN23" s="21"/>
      <c r="KO23" s="21"/>
      <c r="KP23" s="21"/>
      <c r="KQ23" s="21"/>
      <c r="KR23" s="21"/>
      <c r="KS23" s="21"/>
      <c r="KT23" s="21"/>
      <c r="KU23" s="21"/>
      <c r="KV23" s="21"/>
      <c r="KW23" s="21"/>
      <c r="KX23" s="21"/>
      <c r="KY23" s="21"/>
      <c r="KZ23" s="21"/>
      <c r="LA23" s="168">
        <v>3709700</v>
      </c>
      <c r="LB23" s="168">
        <v>3709700</v>
      </c>
      <c r="LC23" s="21"/>
      <c r="LD23" s="21"/>
      <c r="LE23" s="21"/>
      <c r="LF23" s="21"/>
      <c r="LG23" s="21"/>
      <c r="LH23" s="21"/>
      <c r="LI23" s="168">
        <v>3197081</v>
      </c>
      <c r="LJ23" s="168">
        <v>2234536</v>
      </c>
      <c r="LK23" s="168">
        <v>6440251</v>
      </c>
      <c r="LL23" s="168">
        <v>3983060</v>
      </c>
      <c r="LM23" s="168">
        <v>185123</v>
      </c>
      <c r="LN23" s="168">
        <v>41037</v>
      </c>
      <c r="LO23" s="21"/>
      <c r="LP23" s="21"/>
      <c r="LQ23" s="21"/>
      <c r="LR23" s="21"/>
      <c r="LS23" s="21"/>
      <c r="LT23" s="21"/>
      <c r="LU23" s="21"/>
      <c r="LV23" s="21"/>
      <c r="LW23" s="21"/>
      <c r="LX23" s="21"/>
      <c r="LY23" s="21"/>
      <c r="LZ23" s="21"/>
      <c r="MA23" s="168">
        <v>6023363</v>
      </c>
      <c r="MB23" s="168">
        <v>495236</v>
      </c>
      <c r="MC23" s="21"/>
      <c r="MD23" s="21"/>
      <c r="ME23" s="21"/>
      <c r="MF23" s="21"/>
      <c r="MG23" s="21"/>
      <c r="MH23" s="21"/>
      <c r="MI23" s="21"/>
      <c r="MJ23" s="21"/>
      <c r="MK23" s="21"/>
      <c r="ML23" s="21"/>
      <c r="MM23" s="21"/>
      <c r="MN23" s="21"/>
      <c r="MO23" s="168">
        <v>1006683</v>
      </c>
      <c r="MP23" s="168">
        <v>800631</v>
      </c>
      <c r="MQ23" s="168">
        <v>199820</v>
      </c>
      <c r="MR23" s="168">
        <v>62931</v>
      </c>
      <c r="MS23" s="21"/>
      <c r="MT23" s="21"/>
      <c r="MU23" s="21"/>
      <c r="MV23" s="21"/>
      <c r="MW23" s="21"/>
      <c r="MX23" s="21"/>
      <c r="MY23" s="21"/>
      <c r="MZ23" s="21"/>
      <c r="NA23" s="21"/>
      <c r="NB23" s="21"/>
      <c r="NC23" s="168">
        <v>2931661</v>
      </c>
      <c r="ND23" s="168">
        <v>879081</v>
      </c>
      <c r="NE23" s="21"/>
      <c r="NF23" s="21"/>
      <c r="NG23" s="168">
        <v>13139661</v>
      </c>
      <c r="NH23" s="168">
        <v>9416382</v>
      </c>
      <c r="NI23" s="21"/>
      <c r="NJ23" s="21"/>
      <c r="NK23" s="21"/>
      <c r="NL23" s="21"/>
      <c r="NM23" s="168">
        <v>19439626</v>
      </c>
      <c r="NN23" s="168">
        <v>9510221</v>
      </c>
      <c r="NO23" s="168">
        <v>33785790</v>
      </c>
      <c r="NP23" s="168">
        <v>19790165</v>
      </c>
      <c r="NQ23" s="168" t="s">
        <v>949</v>
      </c>
      <c r="NR23" s="168" t="s">
        <v>769</v>
      </c>
      <c r="NS23" s="168" t="s">
        <v>770</v>
      </c>
      <c r="NT23" s="168" t="s">
        <v>771</v>
      </c>
      <c r="NU23" s="168">
        <v>1301</v>
      </c>
      <c r="NV23" s="168" t="s">
        <v>2104</v>
      </c>
      <c r="NW23" s="168" t="s">
        <v>28</v>
      </c>
      <c r="NX23" s="168" t="s">
        <v>25</v>
      </c>
      <c r="NY23" s="169">
        <v>42916</v>
      </c>
      <c r="NZ23" s="169">
        <v>42551</v>
      </c>
      <c r="OA23" s="169">
        <v>43129</v>
      </c>
      <c r="OB23" s="168" t="s">
        <v>950</v>
      </c>
      <c r="OC23" s="168">
        <v>12</v>
      </c>
      <c r="OD23" s="168" t="s">
        <v>2105</v>
      </c>
      <c r="OE23" s="168" t="s">
        <v>2172</v>
      </c>
      <c r="OF23" s="168" t="s">
        <v>2178</v>
      </c>
      <c r="OG23" s="168" t="s">
        <v>1835</v>
      </c>
      <c r="OH23" s="168" t="s">
        <v>943</v>
      </c>
      <c r="OI23" s="168" t="s">
        <v>766</v>
      </c>
      <c r="OJ23" s="168" t="s">
        <v>3240</v>
      </c>
      <c r="OK23" s="168" t="s">
        <v>767</v>
      </c>
    </row>
    <row r="24" spans="1:401" x14ac:dyDescent="0.2">
      <c r="A24" s="170" t="str">
        <f>Liste[[#This Row],[Siren]]</f>
        <v>447250044</v>
      </c>
      <c r="B24" s="198" t="str">
        <f>Liste[[#This Row],[Dénomination]]&amp;" - comptes "&amp;YEAR(Liste[[#This Row],[Date de cloture de l''exercice]])</f>
        <v>BONDUELLE - comptes 2017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168">
        <v>42886000</v>
      </c>
      <c r="S24" s="168">
        <v>35178000</v>
      </c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168">
        <v>1084379000</v>
      </c>
      <c r="EM24" s="168">
        <v>743858000</v>
      </c>
      <c r="EN24" s="21"/>
      <c r="EO24" s="21"/>
      <c r="EP24" s="168">
        <v>970608000</v>
      </c>
      <c r="EQ24" s="168">
        <v>911390000</v>
      </c>
      <c r="ER24" s="21"/>
      <c r="ES24" s="21"/>
      <c r="ET24" s="168">
        <v>2054987000</v>
      </c>
      <c r="EU24" s="168">
        <v>1655248000</v>
      </c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168">
        <v>-22308000</v>
      </c>
      <c r="FX24" s="168">
        <v>-20538000</v>
      </c>
      <c r="FY24" s="168">
        <v>-60000</v>
      </c>
      <c r="FZ24" s="168">
        <v>1000</v>
      </c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168">
        <v>59808000</v>
      </c>
      <c r="GN24" s="168">
        <v>53673000</v>
      </c>
      <c r="GO24" s="21"/>
      <c r="GP24" s="21"/>
      <c r="GQ24" s="21"/>
      <c r="GR24" s="21"/>
      <c r="GS24" s="168">
        <v>59868000</v>
      </c>
      <c r="GT24" s="168">
        <v>53672000</v>
      </c>
      <c r="GU24" s="21"/>
      <c r="GV24" s="21"/>
      <c r="GW24" s="21"/>
      <c r="GX24" s="21"/>
      <c r="GY24" s="21"/>
      <c r="GZ24" s="21"/>
      <c r="HA24" s="21"/>
      <c r="HB24" s="21"/>
      <c r="HC24" s="168">
        <v>1662385000</v>
      </c>
      <c r="HD24" s="168">
        <v>1421291000</v>
      </c>
      <c r="HE24" s="21"/>
      <c r="HF24" s="21"/>
      <c r="HG24" s="21"/>
      <c r="HH24" s="21"/>
      <c r="HI24" s="168">
        <v>27258000</v>
      </c>
      <c r="HJ24" s="168">
        <v>36157000</v>
      </c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168">
        <v>82116000</v>
      </c>
      <c r="IV24" s="168">
        <v>74210000</v>
      </c>
      <c r="IW24" s="168">
        <v>108295000</v>
      </c>
      <c r="IX24" s="168">
        <v>103531000</v>
      </c>
      <c r="IY24" s="168">
        <v>-18203000</v>
      </c>
      <c r="IZ24" s="168">
        <v>-21425000</v>
      </c>
      <c r="JA24" s="21"/>
      <c r="JB24" s="21"/>
      <c r="JC24" s="21"/>
      <c r="JD24" s="21"/>
      <c r="JE24" s="168">
        <v>426732000</v>
      </c>
      <c r="JF24" s="168">
        <v>361038000</v>
      </c>
      <c r="JG24" s="21"/>
      <c r="JH24" s="21"/>
      <c r="JI24" s="168">
        <v>-2179830000</v>
      </c>
      <c r="JJ24" s="168">
        <v>-1864125000</v>
      </c>
      <c r="JK24" s="21"/>
      <c r="JL24" s="21"/>
      <c r="JM24" s="168">
        <v>2315382000</v>
      </c>
      <c r="JN24" s="168">
        <v>2003812000</v>
      </c>
      <c r="JO24" s="21"/>
      <c r="JP24" s="21"/>
      <c r="JQ24" s="21"/>
      <c r="JR24" s="21"/>
      <c r="JS24" s="21"/>
      <c r="JT24" s="21"/>
      <c r="JU24" s="21"/>
      <c r="JV24" s="21"/>
      <c r="JW24" s="168">
        <v>2288124000</v>
      </c>
      <c r="JX24" s="168">
        <v>1967655000</v>
      </c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168">
        <v>598915000</v>
      </c>
      <c r="LB24" s="168">
        <v>560643000</v>
      </c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  <c r="LZ24" s="21"/>
      <c r="MA24" s="21"/>
      <c r="MB24" s="21"/>
      <c r="MC24" s="168">
        <v>535646000</v>
      </c>
      <c r="MD24" s="168">
        <v>327479000</v>
      </c>
      <c r="ME24" s="21"/>
      <c r="MF24" s="21"/>
      <c r="MG24" s="21"/>
      <c r="MH24" s="21"/>
      <c r="MI24" s="168">
        <v>22545000</v>
      </c>
      <c r="MJ24" s="168">
        <v>22545000</v>
      </c>
      <c r="MK24" s="21"/>
      <c r="ML24" s="21"/>
      <c r="MM24" s="21"/>
      <c r="MN24" s="21"/>
      <c r="MO24" s="21"/>
      <c r="MP24" s="21"/>
      <c r="MQ24" s="21"/>
      <c r="MR24" s="21"/>
      <c r="MS24" s="21"/>
      <c r="MT24" s="21"/>
      <c r="MU24" s="21"/>
      <c r="MV24" s="21"/>
      <c r="MW24" s="168">
        <v>520370000</v>
      </c>
      <c r="MX24" s="168">
        <v>482098000</v>
      </c>
      <c r="MY24" s="21"/>
      <c r="MZ24" s="21"/>
      <c r="NA24" s="21"/>
      <c r="NB24" s="21"/>
      <c r="NC24" s="21"/>
      <c r="ND24" s="21"/>
      <c r="NE24" s="21"/>
      <c r="NF24" s="21"/>
      <c r="NG24" s="168">
        <v>606507000</v>
      </c>
      <c r="NH24" s="168">
        <v>568294000</v>
      </c>
      <c r="NI24" s="21"/>
      <c r="NJ24" s="21"/>
      <c r="NK24" s="21"/>
      <c r="NL24" s="21"/>
      <c r="NM24" s="168">
        <v>1448480000</v>
      </c>
      <c r="NN24" s="168">
        <v>1086954000</v>
      </c>
      <c r="NO24" s="168">
        <v>2054987000</v>
      </c>
      <c r="NP24" s="168">
        <v>1655248000</v>
      </c>
      <c r="NQ24" s="168" t="s">
        <v>941</v>
      </c>
      <c r="NR24" s="168" t="s">
        <v>769</v>
      </c>
      <c r="NS24" s="168" t="s">
        <v>770</v>
      </c>
      <c r="NT24" s="168" t="s">
        <v>771</v>
      </c>
      <c r="NU24" s="168">
        <v>5902</v>
      </c>
      <c r="NV24" s="168" t="s">
        <v>2104</v>
      </c>
      <c r="NW24" s="168" t="s">
        <v>28</v>
      </c>
      <c r="NX24" s="168" t="s">
        <v>25</v>
      </c>
      <c r="NY24" s="169">
        <v>42916</v>
      </c>
      <c r="NZ24" s="169">
        <v>42551</v>
      </c>
      <c r="OA24" s="169">
        <v>43126</v>
      </c>
      <c r="OB24" s="168" t="s">
        <v>942</v>
      </c>
      <c r="OC24" s="168">
        <v>12</v>
      </c>
      <c r="OD24" s="168" t="s">
        <v>2105</v>
      </c>
      <c r="OE24" s="168" t="s">
        <v>3273</v>
      </c>
      <c r="OF24" s="168" t="s">
        <v>2174</v>
      </c>
      <c r="OG24" s="168" t="s">
        <v>1834</v>
      </c>
      <c r="OH24" s="168" t="s">
        <v>940</v>
      </c>
      <c r="OI24" s="168" t="s">
        <v>766</v>
      </c>
      <c r="OJ24" s="168" t="s">
        <v>3240</v>
      </c>
      <c r="OK24" s="168" t="s">
        <v>767</v>
      </c>
    </row>
    <row r="25" spans="1:401" x14ac:dyDescent="0.2">
      <c r="A25" s="170" t="str">
        <f>Liste[[#This Row],[Siren]]</f>
        <v>779053883</v>
      </c>
      <c r="B25" s="198" t="str">
        <f>Liste[[#This Row],[Dénomination]]&amp;" - comptes "&amp;YEAR(Liste[[#This Row],[Date de cloture de l''exercice]])</f>
        <v>COOPERATIVE AGRICOLE DE CEREALES ET D APPROVISIONNEMENT DE T - comptes 2017</v>
      </c>
      <c r="C25" s="21"/>
      <c r="D25" s="21"/>
      <c r="E25" s="21"/>
      <c r="F25" s="168">
        <v>2782424</v>
      </c>
      <c r="G25" s="168">
        <v>1805826</v>
      </c>
      <c r="H25" s="168">
        <v>2782424</v>
      </c>
      <c r="I25" s="168">
        <v>-28714873</v>
      </c>
      <c r="J25" s="168">
        <v>17774589</v>
      </c>
      <c r="K25" s="168">
        <v>16967000</v>
      </c>
      <c r="L25" s="168">
        <v>46489462</v>
      </c>
      <c r="M25" s="21"/>
      <c r="N25" s="21"/>
      <c r="O25" s="21"/>
      <c r="P25" s="21"/>
      <c r="Q25" s="168">
        <v>-557906</v>
      </c>
      <c r="R25" s="168">
        <v>1148414</v>
      </c>
      <c r="S25" s="168">
        <v>1316297</v>
      </c>
      <c r="T25" s="168">
        <v>1706320</v>
      </c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168">
        <v>24443254</v>
      </c>
      <c r="BE25" s="168">
        <v>26234036</v>
      </c>
      <c r="BF25" s="168">
        <v>28292386</v>
      </c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168">
        <v>4337450</v>
      </c>
      <c r="BY25" s="168">
        <v>2281110</v>
      </c>
      <c r="BZ25" s="168">
        <v>4337450</v>
      </c>
      <c r="CA25" s="21"/>
      <c r="CB25" s="21"/>
      <c r="CC25" s="21"/>
      <c r="CD25" s="168">
        <v>-1161810</v>
      </c>
      <c r="CE25" s="21"/>
      <c r="CF25" s="21"/>
      <c r="CG25" s="168">
        <v>1161810</v>
      </c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168">
        <v>30434589</v>
      </c>
      <c r="EL25" s="168">
        <v>20012853</v>
      </c>
      <c r="EM25" s="168">
        <v>20618856</v>
      </c>
      <c r="EN25" s="168">
        <v>50447442</v>
      </c>
      <c r="EO25" s="21"/>
      <c r="EP25" s="168">
        <v>41104627</v>
      </c>
      <c r="EQ25" s="168">
        <v>40122863</v>
      </c>
      <c r="ER25" s="168">
        <v>45227822</v>
      </c>
      <c r="ES25" s="168">
        <v>30434589</v>
      </c>
      <c r="ET25" s="168">
        <v>61117480</v>
      </c>
      <c r="EU25" s="168">
        <v>60741720</v>
      </c>
      <c r="EV25" s="168">
        <v>95675264</v>
      </c>
      <c r="EW25" s="21"/>
      <c r="EX25" s="21"/>
      <c r="EY25" s="21"/>
      <c r="EZ25" s="21"/>
      <c r="FA25" s="21"/>
      <c r="FB25" s="21"/>
      <c r="FC25" s="21"/>
      <c r="FD25" s="21"/>
      <c r="FE25" s="21"/>
      <c r="FF25" s="168">
        <v>78335</v>
      </c>
      <c r="FG25" s="168">
        <v>36134</v>
      </c>
      <c r="FH25" s="168">
        <v>215412</v>
      </c>
      <c r="FI25" s="168">
        <v>225023</v>
      </c>
      <c r="FJ25" s="168">
        <v>296370</v>
      </c>
      <c r="FK25" s="21"/>
      <c r="FL25" s="21"/>
      <c r="FM25" s="21"/>
      <c r="FN25" s="21"/>
      <c r="FO25" s="21"/>
      <c r="FP25" s="21"/>
      <c r="FQ25" s="168">
        <v>61037</v>
      </c>
      <c r="FR25" s="168">
        <v>4860</v>
      </c>
      <c r="FS25" s="21"/>
      <c r="FT25" s="21"/>
      <c r="FU25" s="21"/>
      <c r="FV25" s="21"/>
      <c r="FW25" s="168">
        <v>-181336</v>
      </c>
      <c r="FX25" s="168">
        <v>-67095</v>
      </c>
      <c r="FY25" s="168">
        <v>21333</v>
      </c>
      <c r="FZ25" s="168">
        <v>10160</v>
      </c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168">
        <v>1019623</v>
      </c>
      <c r="GN25" s="168">
        <v>1457742</v>
      </c>
      <c r="GO25" s="21"/>
      <c r="GP25" s="21"/>
      <c r="GQ25" s="168">
        <v>7150</v>
      </c>
      <c r="GR25" s="168">
        <v>2682</v>
      </c>
      <c r="GS25" s="168">
        <v>998291</v>
      </c>
      <c r="GT25" s="168">
        <v>1447582</v>
      </c>
      <c r="GU25" s="168">
        <v>239207</v>
      </c>
      <c r="GV25" s="168">
        <v>112783</v>
      </c>
      <c r="GW25" s="168">
        <v>464230</v>
      </c>
      <c r="GX25" s="168">
        <v>409154</v>
      </c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168">
        <v>2004890</v>
      </c>
      <c r="HJ25" s="168">
        <v>1472411</v>
      </c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168">
        <v>591338</v>
      </c>
      <c r="IF25" s="168">
        <v>570902</v>
      </c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168">
        <v>907749</v>
      </c>
      <c r="IV25" s="168">
        <v>1220924</v>
      </c>
      <c r="IW25" s="168">
        <v>1146823</v>
      </c>
      <c r="IX25" s="168">
        <v>1218452</v>
      </c>
      <c r="IY25" s="168">
        <v>-239488</v>
      </c>
      <c r="IZ25" s="168">
        <v>2106</v>
      </c>
      <c r="JA25" s="21"/>
      <c r="JB25" s="21"/>
      <c r="JC25" s="21"/>
      <c r="JD25" s="21"/>
      <c r="JE25" s="21"/>
      <c r="JF25" s="21"/>
      <c r="JG25" s="21"/>
      <c r="JH25" s="21"/>
      <c r="JI25" s="168">
        <v>67880640</v>
      </c>
      <c r="JJ25" s="168">
        <v>91934070</v>
      </c>
      <c r="JK25" s="168">
        <v>659284</v>
      </c>
      <c r="JL25" s="168">
        <v>665241</v>
      </c>
      <c r="JM25" s="168">
        <v>89025851</v>
      </c>
      <c r="JN25" s="168">
        <v>93152607</v>
      </c>
      <c r="JO25" s="168">
        <v>419796</v>
      </c>
      <c r="JP25" s="168">
        <v>667347</v>
      </c>
      <c r="JQ25" s="21"/>
      <c r="JR25" s="21"/>
      <c r="JS25" s="21"/>
      <c r="JT25" s="21"/>
      <c r="JU25" s="21"/>
      <c r="JV25" s="21"/>
      <c r="JW25" s="168">
        <v>87020961</v>
      </c>
      <c r="JX25" s="168">
        <v>91680196</v>
      </c>
      <c r="JY25" s="21"/>
      <c r="JZ25" s="21"/>
      <c r="KA25" s="21"/>
      <c r="KB25" s="21"/>
      <c r="KC25" s="21"/>
      <c r="KD25" s="21"/>
      <c r="KE25" s="21"/>
      <c r="KF25" s="21"/>
      <c r="KG25" s="21"/>
      <c r="KH25" s="21"/>
      <c r="KI25" s="21"/>
      <c r="KJ25" s="21"/>
      <c r="KK25" s="21"/>
      <c r="KL25" s="21"/>
      <c r="KM25" s="21"/>
      <c r="KN25" s="21"/>
      <c r="KO25" s="21"/>
      <c r="KP25" s="21"/>
      <c r="KQ25" s="21"/>
      <c r="KR25" s="21"/>
      <c r="KS25" s="21"/>
      <c r="KT25" s="21"/>
      <c r="KU25" s="21"/>
      <c r="KV25" s="21"/>
      <c r="KW25" s="21"/>
      <c r="KX25" s="21"/>
      <c r="KY25" s="21"/>
      <c r="KZ25" s="21"/>
      <c r="LA25" s="168">
        <v>708943</v>
      </c>
      <c r="LB25" s="168">
        <v>737932</v>
      </c>
      <c r="LC25" s="21"/>
      <c r="LD25" s="21"/>
      <c r="LE25" s="21"/>
      <c r="LF25" s="21"/>
      <c r="LG25" s="21"/>
      <c r="LH25" s="21"/>
      <c r="LI25" s="21"/>
      <c r="LJ25" s="21"/>
      <c r="LK25" s="168">
        <v>4684637</v>
      </c>
      <c r="LL25" s="168">
        <v>5953570</v>
      </c>
      <c r="LM25" s="21"/>
      <c r="LN25" s="21"/>
      <c r="LO25" s="21"/>
      <c r="LP25" s="21"/>
      <c r="LQ25" s="21"/>
      <c r="LR25" s="21"/>
      <c r="LS25" s="21"/>
      <c r="LT25" s="21"/>
      <c r="LU25" s="21"/>
      <c r="LV25" s="21"/>
      <c r="LW25" s="21"/>
      <c r="LX25" s="21"/>
      <c r="LY25" s="21"/>
      <c r="LZ25" s="168">
        <v>61037</v>
      </c>
      <c r="MA25" s="21"/>
      <c r="MB25" s="21"/>
      <c r="MC25" s="168">
        <v>35844086</v>
      </c>
      <c r="MD25" s="168">
        <v>32411638</v>
      </c>
      <c r="ME25" s="21"/>
      <c r="MF25" s="21"/>
      <c r="MG25" s="168">
        <v>1530927</v>
      </c>
      <c r="MH25" s="168">
        <v>1761854</v>
      </c>
      <c r="MI25" s="21"/>
      <c r="MJ25" s="21"/>
      <c r="MK25" s="21"/>
      <c r="ML25" s="21"/>
      <c r="MM25" s="21"/>
      <c r="MN25" s="21"/>
      <c r="MO25" s="21"/>
      <c r="MP25" s="21"/>
      <c r="MQ25" s="21"/>
      <c r="MR25" s="21"/>
      <c r="MS25" s="21"/>
      <c r="MT25" s="21"/>
      <c r="MU25" s="21"/>
      <c r="MV25" s="21"/>
      <c r="MW25" s="21"/>
      <c r="MX25" s="21"/>
      <c r="MY25" s="21"/>
      <c r="MZ25" s="21"/>
      <c r="NA25" s="21"/>
      <c r="NB25" s="21"/>
      <c r="NC25" s="168">
        <v>998291</v>
      </c>
      <c r="ND25" s="168">
        <v>1447582</v>
      </c>
      <c r="NE25" s="21"/>
      <c r="NF25" s="21"/>
      <c r="NG25" s="168">
        <v>15140807</v>
      </c>
      <c r="NH25" s="168">
        <v>14484364</v>
      </c>
      <c r="NI25" s="21"/>
      <c r="NJ25" s="21"/>
      <c r="NK25" s="21"/>
      <c r="NL25" s="21"/>
      <c r="NM25" s="168">
        <v>44265729</v>
      </c>
      <c r="NN25" s="168">
        <v>44275781</v>
      </c>
      <c r="NO25" s="168">
        <v>61117480</v>
      </c>
      <c r="NP25" s="168">
        <v>60741720</v>
      </c>
      <c r="NQ25" s="168" t="s">
        <v>1139</v>
      </c>
      <c r="NR25" s="168" t="s">
        <v>775</v>
      </c>
      <c r="NS25" s="168" t="s">
        <v>770</v>
      </c>
      <c r="NT25" s="168" t="s">
        <v>771</v>
      </c>
      <c r="NU25" s="168">
        <v>301</v>
      </c>
      <c r="NV25" s="168" t="s">
        <v>2104</v>
      </c>
      <c r="NW25" s="168" t="s">
        <v>28</v>
      </c>
      <c r="NX25" s="168" t="s">
        <v>25</v>
      </c>
      <c r="NY25" s="169">
        <v>42916</v>
      </c>
      <c r="NZ25" s="169">
        <v>42551</v>
      </c>
      <c r="OA25" s="169">
        <v>43116</v>
      </c>
      <c r="OB25" s="168" t="s">
        <v>1140</v>
      </c>
      <c r="OC25" s="168">
        <v>12</v>
      </c>
      <c r="OD25" s="168" t="s">
        <v>2105</v>
      </c>
      <c r="OE25" s="168" t="s">
        <v>2136</v>
      </c>
      <c r="OF25" s="168" t="s">
        <v>2328</v>
      </c>
      <c r="OG25" s="168" t="s">
        <v>1898</v>
      </c>
      <c r="OH25" s="168" t="s">
        <v>990</v>
      </c>
      <c r="OI25" s="168" t="s">
        <v>766</v>
      </c>
      <c r="OJ25" s="168" t="s">
        <v>3240</v>
      </c>
      <c r="OK25" s="168" t="s">
        <v>773</v>
      </c>
    </row>
    <row r="26" spans="1:401" x14ac:dyDescent="0.2">
      <c r="A26" s="170" t="str">
        <f>Liste[[#This Row],[Siren]]</f>
        <v>344444021</v>
      </c>
      <c r="B26" s="198" t="str">
        <f>Liste[[#This Row],[Dénomination]]&amp;" - comptes "&amp;YEAR(Liste[[#This Row],[Date de cloture de l''exercice]])</f>
        <v>VIVESCIA INDUSTRIES - comptes 2017</v>
      </c>
      <c r="C26" s="21"/>
      <c r="D26" s="21"/>
      <c r="E26" s="21"/>
      <c r="F26" s="168">
        <v>20305000</v>
      </c>
      <c r="G26" s="168">
        <v>19015000</v>
      </c>
      <c r="H26" s="168">
        <v>20305000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168">
        <v>53968000</v>
      </c>
      <c r="CE26" s="168">
        <v>261336000</v>
      </c>
      <c r="CF26" s="168">
        <v>221208000</v>
      </c>
      <c r="CG26" s="168">
        <v>315304000</v>
      </c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168">
        <v>1165971000</v>
      </c>
      <c r="EL26" s="168">
        <v>989419000</v>
      </c>
      <c r="EM26" s="168">
        <v>1058383000</v>
      </c>
      <c r="EN26" s="168">
        <v>2155390000</v>
      </c>
      <c r="EO26" s="168">
        <v>26732000</v>
      </c>
      <c r="EP26" s="168">
        <v>774480000</v>
      </c>
      <c r="EQ26" s="168">
        <v>774747000</v>
      </c>
      <c r="ER26" s="168">
        <v>801211000</v>
      </c>
      <c r="ES26" s="168">
        <v>1192703000</v>
      </c>
      <c r="ET26" s="168">
        <v>1763898000</v>
      </c>
      <c r="EU26" s="168">
        <v>1833130000</v>
      </c>
      <c r="EV26" s="168">
        <v>2956601000</v>
      </c>
      <c r="EW26" s="21"/>
      <c r="EX26" s="21"/>
      <c r="EY26" s="21"/>
      <c r="EZ26" s="21"/>
      <c r="FA26" s="21"/>
      <c r="FB26" s="168">
        <v>7899000</v>
      </c>
      <c r="FC26" s="168">
        <v>7804000</v>
      </c>
      <c r="FD26" s="168">
        <v>7899000</v>
      </c>
      <c r="FE26" s="21"/>
      <c r="FF26" s="21"/>
      <c r="FG26" s="21"/>
      <c r="FH26" s="21"/>
      <c r="FI26" s="168">
        <v>-23918000</v>
      </c>
      <c r="FJ26" s="168">
        <v>-19658000</v>
      </c>
      <c r="FK26" s="168">
        <v>31575000</v>
      </c>
      <c r="FL26" s="168">
        <v>33247000</v>
      </c>
      <c r="FM26" s="168">
        <v>29818000</v>
      </c>
      <c r="FN26" s="168">
        <v>27570000</v>
      </c>
      <c r="FO26" s="168">
        <v>56324000</v>
      </c>
      <c r="FP26" s="168">
        <v>7479000</v>
      </c>
      <c r="FQ26" s="168">
        <v>693000</v>
      </c>
      <c r="FR26" s="168">
        <v>-9990000</v>
      </c>
      <c r="FS26" s="168">
        <v>22788000</v>
      </c>
      <c r="FT26" s="168">
        <v>31386000</v>
      </c>
      <c r="FU26" s="168">
        <v>16562000</v>
      </c>
      <c r="FV26" s="168">
        <v>21617000</v>
      </c>
      <c r="FW26" s="21"/>
      <c r="FX26" s="21"/>
      <c r="FY26" s="168">
        <v>4549000</v>
      </c>
      <c r="FZ26" s="168">
        <v>4215000</v>
      </c>
      <c r="GA26" s="21"/>
      <c r="GB26" s="21"/>
      <c r="GC26" s="168">
        <v>2328000</v>
      </c>
      <c r="GD26" s="168">
        <v>3641000</v>
      </c>
      <c r="GE26" s="168">
        <v>60273000</v>
      </c>
      <c r="GF26" s="168">
        <v>8903000</v>
      </c>
      <c r="GG26" s="21"/>
      <c r="GH26" s="21"/>
      <c r="GI26" s="21"/>
      <c r="GJ26" s="21"/>
      <c r="GK26" s="168">
        <v>22412000</v>
      </c>
      <c r="GL26" s="168">
        <v>34233000</v>
      </c>
      <c r="GM26" s="168">
        <v>27719000</v>
      </c>
      <c r="GN26" s="168">
        <v>19042719000</v>
      </c>
      <c r="GO26" s="21"/>
      <c r="GP26" s="21"/>
      <c r="GQ26" s="168">
        <v>747000</v>
      </c>
      <c r="GR26" s="168">
        <v>363000</v>
      </c>
      <c r="GS26" s="168">
        <v>32269000</v>
      </c>
      <c r="GT26" s="168">
        <v>23257000</v>
      </c>
      <c r="GU26" s="168">
        <v>108930000</v>
      </c>
      <c r="GV26" s="168">
        <v>66435000</v>
      </c>
      <c r="GW26" s="168">
        <v>85013000</v>
      </c>
      <c r="GX26" s="168">
        <v>46777000</v>
      </c>
      <c r="GY26" s="21"/>
      <c r="GZ26" s="21"/>
      <c r="HA26" s="168">
        <v>1256057000</v>
      </c>
      <c r="HB26" s="168">
        <v>1305956000</v>
      </c>
      <c r="HC26" s="168">
        <v>518919000</v>
      </c>
      <c r="HD26" s="168">
        <v>518176000</v>
      </c>
      <c r="HE26" s="168">
        <v>12756000</v>
      </c>
      <c r="HF26" s="168">
        <v>9776000</v>
      </c>
      <c r="HG26" s="168">
        <v>2063000</v>
      </c>
      <c r="HH26" s="168">
        <v>2505000</v>
      </c>
      <c r="HI26" s="168">
        <v>5370000</v>
      </c>
      <c r="HJ26" s="168">
        <v>6805000</v>
      </c>
      <c r="HK26" s="21"/>
      <c r="HL26" s="21"/>
      <c r="HM26" s="21"/>
      <c r="HN26" s="21"/>
      <c r="HO26" s="21"/>
      <c r="HP26" s="21"/>
      <c r="HQ26" s="168">
        <v>6944000</v>
      </c>
      <c r="HR26" s="168">
        <v>14904000</v>
      </c>
      <c r="HS26" s="168">
        <v>7621000</v>
      </c>
      <c r="HT26" s="168">
        <v>17005000</v>
      </c>
      <c r="HU26" s="21"/>
      <c r="HV26" s="21"/>
      <c r="HW26" s="21"/>
      <c r="HX26" s="21"/>
      <c r="HY26" s="21"/>
      <c r="HZ26" s="21"/>
      <c r="IA26" s="21"/>
      <c r="IB26" s="21"/>
      <c r="IC26" s="168">
        <v>6147000</v>
      </c>
      <c r="ID26" s="168">
        <v>4411000</v>
      </c>
      <c r="IE26" s="168">
        <v>38438000</v>
      </c>
      <c r="IF26" s="168">
        <v>36493000</v>
      </c>
      <c r="IG26" s="168">
        <v>26022000</v>
      </c>
      <c r="IH26" s="168">
        <v>25068000</v>
      </c>
      <c r="II26" s="21"/>
      <c r="IJ26" s="21"/>
      <c r="IK26" s="21"/>
      <c r="IL26" s="21"/>
      <c r="IM26" s="168">
        <v>-4903000</v>
      </c>
      <c r="IN26" s="168">
        <v>-10203000</v>
      </c>
      <c r="IO26" s="21"/>
      <c r="IP26" s="21"/>
      <c r="IQ26" s="21"/>
      <c r="IR26" s="21"/>
      <c r="IS26" s="21"/>
      <c r="IT26" s="21"/>
      <c r="IU26" s="168">
        <v>71309000</v>
      </c>
      <c r="IV26" s="168">
        <v>74159000</v>
      </c>
      <c r="IW26" s="168">
        <v>90412000</v>
      </c>
      <c r="IX26" s="168">
        <v>91711000</v>
      </c>
      <c r="IY26" s="168">
        <v>-19103000</v>
      </c>
      <c r="IZ26" s="168">
        <v>-17551000</v>
      </c>
      <c r="JA26" s="168">
        <v>38398000</v>
      </c>
      <c r="JB26" s="168">
        <v>41404000</v>
      </c>
      <c r="JC26" s="168">
        <v>10247000</v>
      </c>
      <c r="JD26" s="168">
        <v>7243000</v>
      </c>
      <c r="JE26" s="168">
        <v>296897000</v>
      </c>
      <c r="JF26" s="168">
        <v>291397000</v>
      </c>
      <c r="JG26" s="21"/>
      <c r="JH26" s="21"/>
      <c r="JI26" s="168">
        <v>2223702000</v>
      </c>
      <c r="JJ26" s="168">
        <v>2247519000</v>
      </c>
      <c r="JK26" s="168">
        <v>39114000</v>
      </c>
      <c r="JL26" s="168">
        <v>44384000</v>
      </c>
      <c r="JM26" s="168">
        <v>2314113000</v>
      </c>
      <c r="JN26" s="168">
        <v>2339230000</v>
      </c>
      <c r="JO26" s="168">
        <v>20010000</v>
      </c>
      <c r="JP26" s="168">
        <v>26832000</v>
      </c>
      <c r="JQ26" s="21"/>
      <c r="JR26" s="21"/>
      <c r="JS26" s="168">
        <v>3243000</v>
      </c>
      <c r="JT26" s="168">
        <v>-10446000</v>
      </c>
      <c r="JU26" s="21"/>
      <c r="JV26" s="21"/>
      <c r="JW26" s="168">
        <v>2275248000</v>
      </c>
      <c r="JX26" s="168">
        <v>2301224000</v>
      </c>
      <c r="JY26" s="21"/>
      <c r="JZ26" s="21"/>
      <c r="KA26" s="21"/>
      <c r="KB26" s="21"/>
      <c r="KC26" s="21"/>
      <c r="KD26" s="21"/>
      <c r="KE26" s="21"/>
      <c r="KF26" s="21"/>
      <c r="KG26" s="21"/>
      <c r="KH26" s="21"/>
      <c r="KI26" s="21"/>
      <c r="KJ26" s="21"/>
      <c r="KK26" s="21"/>
      <c r="KL26" s="21"/>
      <c r="KM26" s="21"/>
      <c r="KN26" s="21"/>
      <c r="KO26" s="21"/>
      <c r="KP26" s="21"/>
      <c r="KQ26" s="168">
        <v>58072</v>
      </c>
      <c r="KR26" s="168">
        <v>73208</v>
      </c>
      <c r="KS26" s="21"/>
      <c r="KT26" s="21"/>
      <c r="KU26" s="21"/>
      <c r="KV26" s="21"/>
      <c r="KW26" s="21"/>
      <c r="KX26" s="21"/>
      <c r="KY26" s="21"/>
      <c r="KZ26" s="21"/>
      <c r="LA26" s="168">
        <v>200536</v>
      </c>
      <c r="LB26" s="168">
        <v>200521</v>
      </c>
      <c r="LC26" s="168">
        <v>4549</v>
      </c>
      <c r="LD26" s="168">
        <v>4215</v>
      </c>
      <c r="LE26" s="21"/>
      <c r="LF26" s="21"/>
      <c r="LG26" s="21"/>
      <c r="LH26" s="21"/>
      <c r="LI26" s="21"/>
      <c r="LJ26" s="21"/>
      <c r="LK26" s="21"/>
      <c r="LL26" s="21"/>
      <c r="LM26" s="21"/>
      <c r="LN26" s="21"/>
      <c r="LO26" s="21"/>
      <c r="LP26" s="21"/>
      <c r="LQ26" s="21"/>
      <c r="LR26" s="21"/>
      <c r="LS26" s="21"/>
      <c r="LT26" s="21"/>
      <c r="LU26" s="21"/>
      <c r="LV26" s="21"/>
      <c r="LW26" s="21"/>
      <c r="LX26" s="21"/>
      <c r="LY26" s="21"/>
      <c r="LZ26" s="21"/>
      <c r="MA26" s="21"/>
      <c r="MB26" s="21"/>
      <c r="MC26" s="168">
        <v>648382</v>
      </c>
      <c r="MD26" s="168">
        <v>612774</v>
      </c>
      <c r="ME26" s="21"/>
      <c r="MF26" s="21"/>
      <c r="MG26" s="21"/>
      <c r="MH26" s="21"/>
      <c r="MI26" s="168">
        <v>154546</v>
      </c>
      <c r="MJ26" s="168">
        <v>154521</v>
      </c>
      <c r="MK26" s="21"/>
      <c r="ML26" s="21"/>
      <c r="MM26" s="21"/>
      <c r="MN26" s="21"/>
      <c r="MO26" s="21"/>
      <c r="MP26" s="21"/>
      <c r="MQ26" s="21"/>
      <c r="MR26" s="21"/>
      <c r="MS26" s="21"/>
      <c r="MT26" s="21"/>
      <c r="MU26" s="21"/>
      <c r="MV26" s="21"/>
      <c r="MW26" s="21"/>
      <c r="MX26" s="21"/>
      <c r="MY26" s="21"/>
      <c r="MZ26" s="21"/>
      <c r="NA26" s="21"/>
      <c r="NB26" s="21"/>
      <c r="NC26" s="168">
        <v>27720</v>
      </c>
      <c r="ND26" s="168">
        <v>19042</v>
      </c>
      <c r="NE26" s="21"/>
      <c r="NF26" s="21"/>
      <c r="NG26" s="168">
        <v>502343</v>
      </c>
      <c r="NH26" s="168">
        <v>491432</v>
      </c>
      <c r="NI26" s="21"/>
      <c r="NJ26" s="21"/>
      <c r="NK26" s="168">
        <v>66064</v>
      </c>
      <c r="NL26" s="168">
        <v>64441</v>
      </c>
      <c r="NM26" s="168">
        <v>1085391</v>
      </c>
      <c r="NN26" s="168">
        <v>1160881</v>
      </c>
      <c r="NO26" s="168">
        <v>1763898</v>
      </c>
      <c r="NP26" s="168">
        <v>1833130</v>
      </c>
      <c r="NQ26" s="168" t="s">
        <v>789</v>
      </c>
      <c r="NR26" s="168" t="s">
        <v>797</v>
      </c>
      <c r="NS26" s="168" t="s">
        <v>770</v>
      </c>
      <c r="NT26" s="168" t="s">
        <v>771</v>
      </c>
      <c r="NU26" s="168">
        <v>5103</v>
      </c>
      <c r="NV26" s="168" t="s">
        <v>2104</v>
      </c>
      <c r="NW26" s="168" t="s">
        <v>28</v>
      </c>
      <c r="NX26" s="168" t="s">
        <v>25</v>
      </c>
      <c r="NY26" s="169">
        <v>42916</v>
      </c>
      <c r="NZ26" s="169">
        <v>42551</v>
      </c>
      <c r="OA26" s="169">
        <v>43104</v>
      </c>
      <c r="OB26" s="168" t="s">
        <v>3274</v>
      </c>
      <c r="OC26" s="168">
        <v>12</v>
      </c>
      <c r="OD26" s="168" t="s">
        <v>2105</v>
      </c>
      <c r="OE26" s="168" t="s">
        <v>2247</v>
      </c>
      <c r="OF26" s="168" t="s">
        <v>3275</v>
      </c>
      <c r="OG26" s="168" t="s">
        <v>3276</v>
      </c>
      <c r="OH26" s="168" t="s">
        <v>787</v>
      </c>
      <c r="OI26" s="168" t="s">
        <v>766</v>
      </c>
      <c r="OJ26" s="168" t="s">
        <v>3240</v>
      </c>
      <c r="OK26" s="168" t="s">
        <v>796</v>
      </c>
    </row>
    <row r="27" spans="1:401" x14ac:dyDescent="0.2">
      <c r="A27" s="170" t="str">
        <f>Liste[[#This Row],[Siren]]</f>
        <v>443829825</v>
      </c>
      <c r="B27" s="198" t="str">
        <f>Liste[[#This Row],[Dénomination]]&amp;" - comptes "&amp;YEAR(Liste[[#This Row],[Date de cloture de l''exercice]])</f>
        <v>GROUPE ARCANTE - comptes 2017</v>
      </c>
      <c r="C27" s="21"/>
      <c r="D27" s="21"/>
      <c r="E27" s="21"/>
      <c r="F27" s="168">
        <v>213763</v>
      </c>
      <c r="G27" s="168">
        <v>240523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168">
        <v>752426</v>
      </c>
      <c r="BY27" s="168">
        <v>164239</v>
      </c>
      <c r="BZ27" s="21"/>
      <c r="CA27" s="21"/>
      <c r="CB27" s="21"/>
      <c r="CC27" s="21"/>
      <c r="CD27" s="21"/>
      <c r="CE27" s="168">
        <v>22128</v>
      </c>
      <c r="CF27" s="168">
        <v>27026</v>
      </c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168">
        <v>43115</v>
      </c>
      <c r="EM27" s="168">
        <v>58447</v>
      </c>
      <c r="EN27" s="21"/>
      <c r="EO27" s="21"/>
      <c r="EP27" s="168">
        <v>2058418</v>
      </c>
      <c r="EQ27" s="168">
        <v>1649804</v>
      </c>
      <c r="ER27" s="21"/>
      <c r="ES27" s="21"/>
      <c r="ET27" s="168">
        <v>2101533</v>
      </c>
      <c r="EU27" s="168">
        <v>1708251</v>
      </c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168">
        <v>9119</v>
      </c>
      <c r="FG27" s="168">
        <v>7279</v>
      </c>
      <c r="FH27" s="21"/>
      <c r="FI27" s="168">
        <v>3368</v>
      </c>
      <c r="FJ27" s="168">
        <v>-1984</v>
      </c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168">
        <v>-13535</v>
      </c>
      <c r="FV27" s="168">
        <v>-6364</v>
      </c>
      <c r="FW27" s="168">
        <v>295387</v>
      </c>
      <c r="FX27" s="168">
        <v>213986</v>
      </c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168">
        <v>581388</v>
      </c>
      <c r="GN27" s="168">
        <v>389818</v>
      </c>
      <c r="GO27" s="168">
        <v>531388</v>
      </c>
      <c r="GP27" s="168">
        <v>389818</v>
      </c>
      <c r="GQ27" s="21"/>
      <c r="GR27" s="21"/>
      <c r="GS27" s="168">
        <v>581388</v>
      </c>
      <c r="GT27" s="168">
        <v>389818</v>
      </c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168">
        <v>1202495</v>
      </c>
      <c r="HF27" s="168">
        <v>1254873</v>
      </c>
      <c r="HG27" s="21"/>
      <c r="HH27" s="21"/>
      <c r="HI27" s="168">
        <v>99573</v>
      </c>
      <c r="HJ27" s="168">
        <v>81996</v>
      </c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168">
        <v>54994</v>
      </c>
      <c r="HV27" s="168">
        <v>77912</v>
      </c>
      <c r="HW27" s="21"/>
      <c r="HX27" s="21"/>
      <c r="HY27" s="21"/>
      <c r="HZ27" s="21"/>
      <c r="IA27" s="21"/>
      <c r="IB27" s="21"/>
      <c r="IC27" s="21"/>
      <c r="ID27" s="21"/>
      <c r="IE27" s="168">
        <v>75126</v>
      </c>
      <c r="IF27" s="168">
        <v>74260</v>
      </c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168">
        <v>859872</v>
      </c>
      <c r="IV27" s="168">
        <v>599424</v>
      </c>
      <c r="IW27" s="168">
        <v>857612</v>
      </c>
      <c r="IX27" s="168">
        <v>600449</v>
      </c>
      <c r="IY27" s="168">
        <v>2260</v>
      </c>
      <c r="IZ27" s="168">
        <v>-1025</v>
      </c>
      <c r="JA27" s="21"/>
      <c r="JB27" s="21"/>
      <c r="JC27" s="21"/>
      <c r="JD27" s="21"/>
      <c r="JE27" s="168">
        <v>2597171</v>
      </c>
      <c r="JF27" s="168">
        <v>2509895</v>
      </c>
      <c r="JG27" s="21"/>
      <c r="JH27" s="21"/>
      <c r="JI27" s="168">
        <v>4003759</v>
      </c>
      <c r="JJ27" s="168">
        <v>3984397</v>
      </c>
      <c r="JK27" s="168">
        <v>2796</v>
      </c>
      <c r="JL27" s="168">
        <v>4883</v>
      </c>
      <c r="JM27" s="168">
        <v>4861371</v>
      </c>
      <c r="JN27" s="168">
        <v>4584846</v>
      </c>
      <c r="JO27" s="168">
        <v>5056</v>
      </c>
      <c r="JP27" s="168">
        <v>3858</v>
      </c>
      <c r="JQ27" s="21"/>
      <c r="JR27" s="21"/>
      <c r="JS27" s="21"/>
      <c r="JT27" s="21"/>
      <c r="JU27" s="21"/>
      <c r="JV27" s="21"/>
      <c r="JW27" s="168">
        <v>4761798</v>
      </c>
      <c r="JX27" s="168">
        <v>4502850</v>
      </c>
      <c r="JY27" s="21"/>
      <c r="JZ27" s="21"/>
      <c r="KA27" s="21"/>
      <c r="KB27" s="21"/>
      <c r="KC27" s="21"/>
      <c r="KD27" s="21"/>
      <c r="KE27" s="21"/>
      <c r="KF27" s="21"/>
      <c r="KG27" s="21"/>
      <c r="KH27" s="21"/>
      <c r="KI27" s="21"/>
      <c r="KJ27" s="21"/>
      <c r="KK27" s="21"/>
      <c r="KL27" s="21"/>
      <c r="KM27" s="21"/>
      <c r="KN27" s="21"/>
      <c r="KO27" s="21"/>
      <c r="KP27" s="21"/>
      <c r="KQ27" s="168">
        <v>811545</v>
      </c>
      <c r="KR27" s="168">
        <v>719560</v>
      </c>
      <c r="KS27" s="21"/>
      <c r="KT27" s="21"/>
      <c r="KU27" s="21"/>
      <c r="KV27" s="21"/>
      <c r="KW27" s="21"/>
      <c r="KX27" s="21"/>
      <c r="KY27" s="21"/>
      <c r="KZ27" s="21"/>
      <c r="LA27" s="168">
        <v>120000</v>
      </c>
      <c r="LB27" s="168">
        <v>120000</v>
      </c>
      <c r="LC27" s="21"/>
      <c r="LD27" s="21"/>
      <c r="LE27" s="21"/>
      <c r="LF27" s="21"/>
      <c r="LG27" s="21"/>
      <c r="LH27" s="21"/>
      <c r="LI27" s="21"/>
      <c r="LJ27" s="21"/>
      <c r="LK27" s="168">
        <v>89999</v>
      </c>
      <c r="LL27" s="168">
        <v>119192</v>
      </c>
      <c r="LM27" s="21"/>
      <c r="LN27" s="21"/>
      <c r="LO27" s="21"/>
      <c r="LP27" s="21"/>
      <c r="LQ27" s="21"/>
      <c r="LR27" s="21"/>
      <c r="LS27" s="21"/>
      <c r="LT27" s="21"/>
      <c r="LU27" s="21"/>
      <c r="LV27" s="21"/>
      <c r="LW27" s="21"/>
      <c r="LX27" s="21"/>
      <c r="LY27" s="21"/>
      <c r="LZ27" s="21"/>
      <c r="MA27" s="21"/>
      <c r="MB27" s="21"/>
      <c r="MC27" s="21"/>
      <c r="MD27" s="21"/>
      <c r="ME27" s="21"/>
      <c r="MF27" s="21"/>
      <c r="MG27" s="21"/>
      <c r="MH27" s="21"/>
      <c r="MI27" s="21"/>
      <c r="MJ27" s="21"/>
      <c r="MK27" s="21"/>
      <c r="ML27" s="21"/>
      <c r="MM27" s="21"/>
      <c r="MN27" s="21"/>
      <c r="MO27" s="21"/>
      <c r="MP27" s="21"/>
      <c r="MQ27" s="21"/>
      <c r="MR27" s="21"/>
      <c r="MS27" s="21"/>
      <c r="MT27" s="21"/>
      <c r="MU27" s="21"/>
      <c r="MV27" s="21"/>
      <c r="MW27" s="168">
        <v>296420</v>
      </c>
      <c r="MX27" s="168">
        <v>168801</v>
      </c>
      <c r="MY27" s="21"/>
      <c r="MZ27" s="21"/>
      <c r="NA27" s="21"/>
      <c r="NB27" s="21"/>
      <c r="NC27" s="168">
        <v>581388</v>
      </c>
      <c r="ND27" s="168">
        <v>389818</v>
      </c>
      <c r="NE27" s="21"/>
      <c r="NF27" s="21"/>
      <c r="NG27" s="168">
        <v>997808</v>
      </c>
      <c r="NH27" s="168">
        <v>678619</v>
      </c>
      <c r="NI27" s="21"/>
      <c r="NJ27" s="21"/>
      <c r="NK27" s="21"/>
      <c r="NL27" s="21"/>
      <c r="NM27" s="168">
        <v>901544</v>
      </c>
      <c r="NN27" s="168">
        <v>838752</v>
      </c>
      <c r="NO27" s="168">
        <v>2101533</v>
      </c>
      <c r="NP27" s="168">
        <v>1708251</v>
      </c>
      <c r="NQ27" s="168" t="s">
        <v>1391</v>
      </c>
      <c r="NR27" s="168" t="s">
        <v>769</v>
      </c>
      <c r="NS27" s="168" t="s">
        <v>770</v>
      </c>
      <c r="NT27" s="168" t="s">
        <v>771</v>
      </c>
      <c r="NU27" s="168">
        <v>5910</v>
      </c>
      <c r="NV27" s="168" t="s">
        <v>2104</v>
      </c>
      <c r="NW27" s="168" t="s">
        <v>28</v>
      </c>
      <c r="NX27" s="168" t="s">
        <v>25</v>
      </c>
      <c r="NY27" s="169">
        <v>42916</v>
      </c>
      <c r="NZ27" s="21"/>
      <c r="OA27" s="169">
        <v>43033</v>
      </c>
      <c r="OB27" s="168" t="s">
        <v>1459</v>
      </c>
      <c r="OC27" s="168">
        <v>12</v>
      </c>
      <c r="OD27" s="168" t="s">
        <v>2105</v>
      </c>
      <c r="OE27" s="168" t="s">
        <v>2349</v>
      </c>
      <c r="OF27" s="168" t="s">
        <v>2558</v>
      </c>
      <c r="OG27" s="168" t="s">
        <v>2030</v>
      </c>
      <c r="OH27" s="168" t="s">
        <v>907</v>
      </c>
      <c r="OI27" s="168" t="s">
        <v>766</v>
      </c>
      <c r="OJ27" s="168" t="s">
        <v>3240</v>
      </c>
      <c r="OK27" s="168" t="s">
        <v>767</v>
      </c>
    </row>
    <row r="28" spans="1:401" x14ac:dyDescent="0.2">
      <c r="A28" s="170" t="str">
        <f>Liste[[#This Row],[Siren]]</f>
        <v>642880785</v>
      </c>
      <c r="B28" s="198" t="str">
        <f>Liste[[#This Row],[Dénomination]]&amp;" - comptes "&amp;YEAR(Liste[[#This Row],[Date de cloture de l''exercice]])</f>
        <v>ETABLISSEMENTS J. SOUFFLET - comptes 2017</v>
      </c>
      <c r="C28" s="21"/>
      <c r="D28" s="21"/>
      <c r="E28" s="21"/>
      <c r="F28" s="168">
        <v>164143000</v>
      </c>
      <c r="G28" s="168">
        <v>180711000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168">
        <v>469316000</v>
      </c>
      <c r="BE28" s="168">
        <v>436425000</v>
      </c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168">
        <v>184276000</v>
      </c>
      <c r="BY28" s="168">
        <v>145925000</v>
      </c>
      <c r="BZ28" s="21"/>
      <c r="CA28" s="21"/>
      <c r="CB28" s="21"/>
      <c r="CC28" s="21"/>
      <c r="CD28" s="21"/>
      <c r="CE28" s="168">
        <v>173539000</v>
      </c>
      <c r="CF28" s="168">
        <v>163788000</v>
      </c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168">
        <v>1251503000</v>
      </c>
      <c r="EM28" s="168">
        <v>1251084000</v>
      </c>
      <c r="EN28" s="21"/>
      <c r="EO28" s="21"/>
      <c r="EP28" s="168">
        <v>1256065000</v>
      </c>
      <c r="EQ28" s="168">
        <v>1210288000</v>
      </c>
      <c r="ER28" s="21"/>
      <c r="ES28" s="21"/>
      <c r="ET28" s="168">
        <v>2507568000</v>
      </c>
      <c r="EU28" s="168">
        <v>2461372000</v>
      </c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168">
        <v>6000</v>
      </c>
      <c r="FG28" s="168">
        <v>1066000</v>
      </c>
      <c r="FH28" s="21"/>
      <c r="FI28" s="168">
        <v>-35038000</v>
      </c>
      <c r="FJ28" s="168">
        <v>-15821000</v>
      </c>
      <c r="FK28" s="21"/>
      <c r="FL28" s="21"/>
      <c r="FM28" s="21"/>
      <c r="FN28" s="21"/>
      <c r="FO28" s="21"/>
      <c r="FP28" s="21"/>
      <c r="FQ28" s="168">
        <v>-114418000</v>
      </c>
      <c r="FR28" s="168">
        <v>-10929000</v>
      </c>
      <c r="FS28" s="21"/>
      <c r="FT28" s="21"/>
      <c r="FU28" s="21"/>
      <c r="FV28" s="21"/>
      <c r="FW28" s="168">
        <v>14572000</v>
      </c>
      <c r="FX28" s="168">
        <v>-19176000</v>
      </c>
      <c r="FY28" s="168">
        <v>-3304000</v>
      </c>
      <c r="FZ28" s="168">
        <v>-7650000</v>
      </c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168">
        <v>4130000</v>
      </c>
      <c r="GN28" s="168">
        <v>22747000</v>
      </c>
      <c r="GO28" s="168">
        <v>17803000</v>
      </c>
      <c r="GP28" s="168">
        <v>36172000</v>
      </c>
      <c r="GQ28" s="21"/>
      <c r="GR28" s="21"/>
      <c r="GS28" s="168">
        <v>7434000</v>
      </c>
      <c r="GT28" s="168">
        <v>30397000</v>
      </c>
      <c r="GU28" s="21"/>
      <c r="GV28" s="21"/>
      <c r="GW28" s="21"/>
      <c r="GX28" s="21"/>
      <c r="GY28" s="21"/>
      <c r="GZ28" s="21"/>
      <c r="HA28" s="21"/>
      <c r="HB28" s="21"/>
      <c r="HC28" s="168">
        <v>27939000</v>
      </c>
      <c r="HD28" s="168">
        <v>50399000</v>
      </c>
      <c r="HE28" s="21"/>
      <c r="HF28" s="21"/>
      <c r="HG28" s="21"/>
      <c r="HH28" s="21"/>
      <c r="HI28" s="168">
        <v>51420000</v>
      </c>
      <c r="HJ28" s="168">
        <v>66648000</v>
      </c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168">
        <v>48408000</v>
      </c>
      <c r="IF28" s="168">
        <v>52655000</v>
      </c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168">
        <v>67413000</v>
      </c>
      <c r="IV28" s="168">
        <v>71169000</v>
      </c>
      <c r="IW28" s="168">
        <v>108397000</v>
      </c>
      <c r="IX28" s="168">
        <v>113972000</v>
      </c>
      <c r="IY28" s="168">
        <v>-40984000</v>
      </c>
      <c r="IZ28" s="168">
        <v>-42803000</v>
      </c>
      <c r="JA28" s="21"/>
      <c r="JB28" s="21"/>
      <c r="JC28" s="21"/>
      <c r="JD28" s="21"/>
      <c r="JE28" s="21"/>
      <c r="JF28" s="21"/>
      <c r="JG28" s="21"/>
      <c r="JH28" s="21"/>
      <c r="JI28" s="168">
        <v>4301716000</v>
      </c>
      <c r="JJ28" s="168">
        <v>4602926000</v>
      </c>
      <c r="JK28" s="21"/>
      <c r="JL28" s="21"/>
      <c r="JM28" s="168">
        <v>4410113000</v>
      </c>
      <c r="JN28" s="168">
        <v>4716898000</v>
      </c>
      <c r="JO28" s="21"/>
      <c r="JP28" s="21"/>
      <c r="JQ28" s="21"/>
      <c r="JR28" s="21"/>
      <c r="JS28" s="21"/>
      <c r="JT28" s="21"/>
      <c r="JU28" s="21"/>
      <c r="JV28" s="21"/>
      <c r="JW28" s="168">
        <v>4358693000</v>
      </c>
      <c r="JX28" s="168">
        <v>4650250000</v>
      </c>
      <c r="JY28" s="21"/>
      <c r="JZ28" s="21"/>
      <c r="KA28" s="21"/>
      <c r="KB28" s="21"/>
      <c r="KC28" s="21"/>
      <c r="KD28" s="21"/>
      <c r="KE28" s="21"/>
      <c r="KF28" s="21"/>
      <c r="KG28" s="21"/>
      <c r="KH28" s="21"/>
      <c r="KI28" s="21"/>
      <c r="KJ28" s="21"/>
      <c r="KK28" s="21"/>
      <c r="KL28" s="21"/>
      <c r="KM28" s="21"/>
      <c r="KN28" s="21"/>
      <c r="KO28" s="21"/>
      <c r="KP28" s="21"/>
      <c r="KQ28" s="168">
        <v>422665000</v>
      </c>
      <c r="KR28" s="168">
        <v>434011000</v>
      </c>
      <c r="KS28" s="21"/>
      <c r="KT28" s="21"/>
      <c r="KU28" s="21"/>
      <c r="KV28" s="21"/>
      <c r="KW28" s="21"/>
      <c r="KX28" s="21"/>
      <c r="KY28" s="21"/>
      <c r="KZ28" s="21"/>
      <c r="LA28" s="168">
        <v>1103000</v>
      </c>
      <c r="LB28" s="168">
        <v>1103000</v>
      </c>
      <c r="LC28" s="21"/>
      <c r="LD28" s="21"/>
      <c r="LE28" s="21"/>
      <c r="LF28" s="21"/>
      <c r="LG28" s="21"/>
      <c r="LH28" s="21"/>
      <c r="LI28" s="21"/>
      <c r="LJ28" s="21"/>
      <c r="LK28" s="168">
        <v>496263000</v>
      </c>
      <c r="LL28" s="168">
        <v>462320000</v>
      </c>
      <c r="LM28" s="21"/>
      <c r="LN28" s="21"/>
      <c r="LO28" s="21"/>
      <c r="LP28" s="21"/>
      <c r="LQ28" s="21"/>
      <c r="LR28" s="21"/>
      <c r="LS28" s="21"/>
      <c r="LT28" s="21"/>
      <c r="LU28" s="168">
        <v>-48792000</v>
      </c>
      <c r="LV28" s="168">
        <v>-51420000</v>
      </c>
      <c r="LW28" s="21"/>
      <c r="LX28" s="21"/>
      <c r="LY28" s="21"/>
      <c r="LZ28" s="21"/>
      <c r="MA28" s="21"/>
      <c r="MB28" s="21"/>
      <c r="MC28" s="168">
        <v>844130000</v>
      </c>
      <c r="MD28" s="168">
        <v>833196000</v>
      </c>
      <c r="ME28" s="21"/>
      <c r="MF28" s="21"/>
      <c r="MG28" s="21"/>
      <c r="MH28" s="21"/>
      <c r="MI28" s="168">
        <v>11835000</v>
      </c>
      <c r="MJ28" s="168">
        <v>11835000</v>
      </c>
      <c r="MK28" s="21"/>
      <c r="ML28" s="21"/>
      <c r="MM28" s="21"/>
      <c r="MN28" s="21"/>
      <c r="MO28" s="21"/>
      <c r="MP28" s="21"/>
      <c r="MQ28" s="21"/>
      <c r="MR28" s="21"/>
      <c r="MS28" s="21"/>
      <c r="MT28" s="21"/>
      <c r="MU28" s="21"/>
      <c r="MV28" s="21"/>
      <c r="MW28" s="21"/>
      <c r="MX28" s="21"/>
      <c r="MY28" s="21"/>
      <c r="MZ28" s="21"/>
      <c r="NA28" s="21"/>
      <c r="NB28" s="21"/>
      <c r="NC28" s="168">
        <v>605541000</v>
      </c>
      <c r="ND28" s="168">
        <v>604243000</v>
      </c>
      <c r="NE28" s="21"/>
      <c r="NF28" s="21"/>
      <c r="NG28" s="168">
        <v>569687</v>
      </c>
      <c r="NH28" s="168">
        <v>565761</v>
      </c>
      <c r="NI28" s="21"/>
      <c r="NJ28" s="21"/>
      <c r="NK28" s="168">
        <v>39530000</v>
      </c>
      <c r="NL28" s="168">
        <v>37465000</v>
      </c>
      <c r="NM28" s="168">
        <v>1771750000</v>
      </c>
      <c r="NN28" s="168">
        <v>1742363000</v>
      </c>
      <c r="NO28" s="168">
        <v>2507568000</v>
      </c>
      <c r="NP28" s="168">
        <v>2461372000</v>
      </c>
      <c r="NQ28" s="168" t="s">
        <v>1085</v>
      </c>
      <c r="NR28" s="168" t="s">
        <v>797</v>
      </c>
      <c r="NS28" s="168" t="s">
        <v>770</v>
      </c>
      <c r="NT28" s="168" t="s">
        <v>771</v>
      </c>
      <c r="NU28" s="168">
        <v>1001</v>
      </c>
      <c r="NV28" s="168" t="s">
        <v>2104</v>
      </c>
      <c r="NW28" s="168" t="s">
        <v>28</v>
      </c>
      <c r="NX28" s="168" t="s">
        <v>25</v>
      </c>
      <c r="NY28" s="169">
        <v>42916</v>
      </c>
      <c r="NZ28" s="169">
        <v>42551</v>
      </c>
      <c r="OA28" s="169">
        <v>43088</v>
      </c>
      <c r="OB28" s="168" t="s">
        <v>1086</v>
      </c>
      <c r="OC28" s="168">
        <v>12</v>
      </c>
      <c r="OD28" s="168" t="s">
        <v>2106</v>
      </c>
      <c r="OE28" s="168" t="s">
        <v>2553</v>
      </c>
      <c r="OF28" s="168" t="s">
        <v>2281</v>
      </c>
      <c r="OG28" s="168" t="s">
        <v>1873</v>
      </c>
      <c r="OH28" s="168" t="s">
        <v>1053</v>
      </c>
      <c r="OI28" s="168" t="s">
        <v>766</v>
      </c>
      <c r="OJ28" s="168" t="s">
        <v>3240</v>
      </c>
      <c r="OK28" s="168" t="s">
        <v>796</v>
      </c>
    </row>
    <row r="29" spans="1:401" x14ac:dyDescent="0.2">
      <c r="A29" s="170" t="str">
        <f>Liste[[#This Row],[Siren]]</f>
        <v>343159380</v>
      </c>
      <c r="B29" s="198" t="str">
        <f>Liste[[#This Row],[Dénomination]]&amp;" - comptes "&amp;YEAR(Liste[[#This Row],[Date de cloture de l''exercice]])</f>
        <v>S.A. LIBNER - comptes 2017</v>
      </c>
      <c r="C29" s="21"/>
      <c r="D29" s="21"/>
      <c r="E29" s="21"/>
      <c r="F29" s="168">
        <v>1975280</v>
      </c>
      <c r="G29" s="168">
        <v>1584334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168">
        <v>6531992</v>
      </c>
      <c r="BE29" s="168">
        <v>5796931</v>
      </c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168">
        <v>2311761</v>
      </c>
      <c r="BY29" s="168">
        <v>1216065</v>
      </c>
      <c r="BZ29" s="21"/>
      <c r="CA29" s="21"/>
      <c r="CB29" s="21"/>
      <c r="CC29" s="21"/>
      <c r="CD29" s="21"/>
      <c r="CE29" s="168">
        <v>240299</v>
      </c>
      <c r="CF29" s="168">
        <v>312774</v>
      </c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168">
        <v>12002255</v>
      </c>
      <c r="EM29" s="168">
        <v>10312117</v>
      </c>
      <c r="EN29" s="21"/>
      <c r="EO29" s="21"/>
      <c r="EP29" s="168">
        <v>20897282</v>
      </c>
      <c r="EQ29" s="168">
        <v>14843901</v>
      </c>
      <c r="ER29" s="21"/>
      <c r="ES29" s="21"/>
      <c r="ET29" s="168">
        <v>32899536</v>
      </c>
      <c r="EU29" s="168">
        <v>25156017</v>
      </c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168">
        <v>3951233</v>
      </c>
      <c r="FG29" s="168">
        <v>732281</v>
      </c>
      <c r="FH29" s="21"/>
      <c r="FI29" s="168">
        <v>-66528</v>
      </c>
      <c r="FJ29" s="168">
        <v>-60152</v>
      </c>
      <c r="FK29" s="21"/>
      <c r="FL29" s="21"/>
      <c r="FM29" s="21"/>
      <c r="FN29" s="21"/>
      <c r="FO29" s="21"/>
      <c r="FP29" s="21"/>
      <c r="FQ29" s="168">
        <v>-53659</v>
      </c>
      <c r="FR29" s="168">
        <v>-92648</v>
      </c>
      <c r="FS29" s="21"/>
      <c r="FT29" s="21"/>
      <c r="FU29" s="21"/>
      <c r="FV29" s="21"/>
      <c r="FW29" s="168">
        <v>-584627</v>
      </c>
      <c r="FX29" s="168">
        <v>-405533</v>
      </c>
      <c r="FY29" s="168">
        <v>108891</v>
      </c>
      <c r="FZ29" s="168">
        <v>82958</v>
      </c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168">
        <v>1502650</v>
      </c>
      <c r="GN29" s="168">
        <v>895582</v>
      </c>
      <c r="GO29" s="168">
        <v>1656309</v>
      </c>
      <c r="GP29" s="168">
        <v>988230</v>
      </c>
      <c r="GQ29" s="21"/>
      <c r="GR29" s="21"/>
      <c r="GS29" s="168">
        <v>1393769</v>
      </c>
      <c r="GT29" s="168">
        <v>812624</v>
      </c>
      <c r="GU29" s="168">
        <v>-102403</v>
      </c>
      <c r="GV29" s="168">
        <v>-301687</v>
      </c>
      <c r="GW29" s="168">
        <v>35875</v>
      </c>
      <c r="GX29" s="168">
        <v>241535</v>
      </c>
      <c r="GY29" s="21"/>
      <c r="GZ29" s="21"/>
      <c r="HA29" s="21"/>
      <c r="HB29" s="21"/>
      <c r="HC29" s="21"/>
      <c r="HD29" s="21"/>
      <c r="HE29" s="168">
        <v>6207142</v>
      </c>
      <c r="HF29" s="168">
        <v>5788167</v>
      </c>
      <c r="HG29" s="21"/>
      <c r="HH29" s="21"/>
      <c r="HI29" s="168">
        <v>986162</v>
      </c>
      <c r="HJ29" s="168">
        <v>956526</v>
      </c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168">
        <v>1454797</v>
      </c>
      <c r="HV29" s="168">
        <v>1716995</v>
      </c>
      <c r="HW29" s="21"/>
      <c r="HX29" s="21"/>
      <c r="HY29" s="21"/>
      <c r="HZ29" s="21"/>
      <c r="IA29" s="21"/>
      <c r="IB29" s="21"/>
      <c r="IC29" s="21"/>
      <c r="ID29" s="21"/>
      <c r="IE29" s="168">
        <v>608588</v>
      </c>
      <c r="IF29" s="168">
        <v>587043</v>
      </c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168">
        <v>2207465</v>
      </c>
      <c r="IV29" s="168">
        <v>1453915</v>
      </c>
      <c r="IW29" s="168">
        <v>2644145</v>
      </c>
      <c r="IX29" s="168">
        <v>1946078</v>
      </c>
      <c r="IY29" s="168">
        <v>-436680</v>
      </c>
      <c r="IZ29" s="168">
        <v>-492162</v>
      </c>
      <c r="JA29" s="21"/>
      <c r="JB29" s="21"/>
      <c r="JC29" s="21"/>
      <c r="JD29" s="21"/>
      <c r="JE29" s="21"/>
      <c r="JF29" s="21"/>
      <c r="JG29" s="21"/>
      <c r="JH29" s="21"/>
      <c r="JI29" s="168">
        <v>41416095</v>
      </c>
      <c r="JJ29" s="168">
        <v>38414600</v>
      </c>
      <c r="JK29" s="168">
        <v>-473917</v>
      </c>
      <c r="JL29" s="168">
        <v>-490661</v>
      </c>
      <c r="JM29" s="168">
        <v>44060240</v>
      </c>
      <c r="JN29" s="168">
        <v>40354338</v>
      </c>
      <c r="JO29" s="168">
        <v>37237</v>
      </c>
      <c r="JP29" s="168">
        <v>4515</v>
      </c>
      <c r="JQ29" s="21"/>
      <c r="JR29" s="21"/>
      <c r="JS29" s="21"/>
      <c r="JT29" s="21"/>
      <c r="JU29" s="21"/>
      <c r="JV29" s="21"/>
      <c r="JW29" s="168">
        <v>43074077</v>
      </c>
      <c r="JX29" s="168">
        <v>39397812</v>
      </c>
      <c r="JY29" s="21"/>
      <c r="JZ29" s="21"/>
      <c r="KA29" s="21"/>
      <c r="KB29" s="21"/>
      <c r="KC29" s="21"/>
      <c r="KD29" s="21"/>
      <c r="KE29" s="21"/>
      <c r="KF29" s="21"/>
      <c r="KG29" s="21"/>
      <c r="KH29" s="21"/>
      <c r="KI29" s="21"/>
      <c r="KJ29" s="21"/>
      <c r="KK29" s="21"/>
      <c r="KL29" s="21"/>
      <c r="KM29" s="21"/>
      <c r="KN29" s="21"/>
      <c r="KO29" s="21"/>
      <c r="KP29" s="21"/>
      <c r="KQ29" s="21"/>
      <c r="KR29" s="21"/>
      <c r="KS29" s="21"/>
      <c r="KT29" s="21"/>
      <c r="KU29" s="21"/>
      <c r="KV29" s="21"/>
      <c r="KW29" s="21"/>
      <c r="KX29" s="21"/>
      <c r="KY29" s="21"/>
      <c r="KZ29" s="21"/>
      <c r="LA29" s="168">
        <v>5215600</v>
      </c>
      <c r="LB29" s="168">
        <v>4000000</v>
      </c>
      <c r="LC29" s="21"/>
      <c r="LD29" s="21"/>
      <c r="LE29" s="21"/>
      <c r="LF29" s="21"/>
      <c r="LG29" s="21"/>
      <c r="LH29" s="21"/>
      <c r="LI29" s="21"/>
      <c r="LJ29" s="21"/>
      <c r="LK29" s="168">
        <v>8502395</v>
      </c>
      <c r="LL29" s="168">
        <v>7347399</v>
      </c>
      <c r="LM29" s="21"/>
      <c r="LN29" s="21"/>
      <c r="LO29" s="21"/>
      <c r="LP29" s="21"/>
      <c r="LQ29" s="21"/>
      <c r="LR29" s="21"/>
      <c r="LS29" s="21"/>
      <c r="LT29" s="21"/>
      <c r="LU29" s="21"/>
      <c r="LV29" s="21"/>
      <c r="LW29" s="21"/>
      <c r="LX29" s="21"/>
      <c r="LY29" s="168">
        <v>16216</v>
      </c>
      <c r="LZ29" s="168">
        <v>27032</v>
      </c>
      <c r="MA29" s="21"/>
      <c r="MB29" s="21"/>
      <c r="MC29" s="168">
        <v>9320272</v>
      </c>
      <c r="MD29" s="168">
        <v>8810448</v>
      </c>
      <c r="ME29" s="21"/>
      <c r="MF29" s="21"/>
      <c r="MG29" s="21"/>
      <c r="MH29" s="21"/>
      <c r="MI29" s="168">
        <v>3601813</v>
      </c>
      <c r="MJ29" s="21"/>
      <c r="MK29" s="21"/>
      <c r="ML29" s="21"/>
      <c r="MM29" s="21"/>
      <c r="MN29" s="21"/>
      <c r="MO29" s="21"/>
      <c r="MP29" s="21"/>
      <c r="MQ29" s="21"/>
      <c r="MR29" s="21"/>
      <c r="MS29" s="21"/>
      <c r="MT29" s="21"/>
      <c r="MU29" s="21"/>
      <c r="MV29" s="21"/>
      <c r="MW29" s="21"/>
      <c r="MX29" s="21"/>
      <c r="MY29" s="21"/>
      <c r="MZ29" s="21"/>
      <c r="NA29" s="21"/>
      <c r="NB29" s="21"/>
      <c r="NC29" s="168">
        <v>1393759</v>
      </c>
      <c r="ND29" s="168">
        <v>812624</v>
      </c>
      <c r="NE29" s="21"/>
      <c r="NF29" s="21"/>
      <c r="NG29" s="168">
        <v>9366108</v>
      </c>
      <c r="NH29" s="168">
        <v>3288894</v>
      </c>
      <c r="NI29" s="21"/>
      <c r="NJ29" s="21"/>
      <c r="NK29" s="168">
        <v>1154418</v>
      </c>
      <c r="NL29" s="168">
        <v>1123406</v>
      </c>
      <c r="NM29" s="168">
        <v>21087145</v>
      </c>
      <c r="NN29" s="168">
        <v>19460223</v>
      </c>
      <c r="NO29" s="168">
        <v>32899536</v>
      </c>
      <c r="NP29" s="168">
        <v>25156017</v>
      </c>
      <c r="NQ29" s="168" t="s">
        <v>1448</v>
      </c>
      <c r="NR29" s="168" t="s">
        <v>1418</v>
      </c>
      <c r="NS29" s="168" t="s">
        <v>770</v>
      </c>
      <c r="NT29" s="168" t="s">
        <v>771</v>
      </c>
      <c r="NU29" s="168">
        <v>7901</v>
      </c>
      <c r="NV29" s="168" t="s">
        <v>2133</v>
      </c>
      <c r="NW29" s="168" t="s">
        <v>28</v>
      </c>
      <c r="NX29" s="168" t="s">
        <v>25</v>
      </c>
      <c r="NY29" s="169">
        <v>42916</v>
      </c>
      <c r="NZ29" s="169">
        <v>42551</v>
      </c>
      <c r="OA29" s="169">
        <v>43067</v>
      </c>
      <c r="OB29" s="168" t="s">
        <v>1449</v>
      </c>
      <c r="OC29" s="168">
        <v>12</v>
      </c>
      <c r="OD29" s="168" t="s">
        <v>2105</v>
      </c>
      <c r="OE29" s="168" t="s">
        <v>2283</v>
      </c>
      <c r="OF29" s="168" t="s">
        <v>2549</v>
      </c>
      <c r="OG29" s="168" t="s">
        <v>2024</v>
      </c>
      <c r="OH29" s="168" t="s">
        <v>878</v>
      </c>
      <c r="OI29" s="168" t="s">
        <v>825</v>
      </c>
      <c r="OJ29" s="168" t="s">
        <v>3242</v>
      </c>
      <c r="OK29" s="168" t="s">
        <v>1416</v>
      </c>
    </row>
    <row r="30" spans="1:401" x14ac:dyDescent="0.2">
      <c r="A30" s="170" t="str">
        <f>Liste[[#This Row],[Siren]]</f>
        <v>402520852</v>
      </c>
      <c r="B30" s="198" t="str">
        <f>Liste[[#This Row],[Dénomination]]&amp;" - comptes "&amp;YEAR(Liste[[#This Row],[Date de cloture de l''exercice]])</f>
        <v>SOCIETE D'INVESTISSEMENT BASTIDE - comptes 2017</v>
      </c>
      <c r="C30" s="21"/>
      <c r="D30" s="21"/>
      <c r="E30" s="21"/>
      <c r="F30" s="168">
        <v>16621000</v>
      </c>
      <c r="G30" s="168">
        <v>6110000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168">
        <v>33095000</v>
      </c>
      <c r="BE30" s="168">
        <v>32772000</v>
      </c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168">
        <v>69820000</v>
      </c>
      <c r="EI30" s="168">
        <v>22889000</v>
      </c>
      <c r="EJ30" s="21"/>
      <c r="EK30" s="21"/>
      <c r="EL30" s="168">
        <v>161713000</v>
      </c>
      <c r="EM30" s="168">
        <v>102016000</v>
      </c>
      <c r="EN30" s="21"/>
      <c r="EO30" s="21"/>
      <c r="EP30" s="168">
        <v>96280000</v>
      </c>
      <c r="EQ30" s="168">
        <v>86453000</v>
      </c>
      <c r="ER30" s="21"/>
      <c r="ES30" s="21"/>
      <c r="ET30" s="168">
        <v>257993000</v>
      </c>
      <c r="EU30" s="168">
        <v>188469000</v>
      </c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168">
        <v>-2669000</v>
      </c>
      <c r="FX30" s="168">
        <v>-4546000</v>
      </c>
      <c r="FY30" s="168">
        <v>2839000</v>
      </c>
      <c r="FZ30" s="168">
        <v>3693000</v>
      </c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168">
        <v>5596000</v>
      </c>
      <c r="GN30" s="168">
        <v>7278000</v>
      </c>
      <c r="GO30" s="21"/>
      <c r="GP30" s="21"/>
      <c r="GQ30" s="21"/>
      <c r="GR30" s="21"/>
      <c r="GS30" s="168">
        <v>2757000</v>
      </c>
      <c r="GT30" s="168">
        <v>3585000</v>
      </c>
      <c r="GU30" s="21"/>
      <c r="GV30" s="21"/>
      <c r="GW30" s="21"/>
      <c r="GX30" s="21"/>
      <c r="GY30" s="21"/>
      <c r="GZ30" s="21"/>
      <c r="HA30" s="21"/>
      <c r="HB30" s="21"/>
      <c r="HC30" s="168">
        <v>42130000</v>
      </c>
      <c r="HD30" s="168">
        <v>36690000</v>
      </c>
      <c r="HE30" s="168">
        <v>923000</v>
      </c>
      <c r="HF30" s="168">
        <v>-1869000</v>
      </c>
      <c r="HG30" s="21"/>
      <c r="HH30" s="21"/>
      <c r="HI30" s="168">
        <v>-5571000</v>
      </c>
      <c r="HJ30" s="168">
        <v>2395000</v>
      </c>
      <c r="HK30" s="21"/>
      <c r="HL30" s="21"/>
      <c r="HM30" s="21"/>
      <c r="HN30" s="21"/>
      <c r="HO30" s="168">
        <v>57287000</v>
      </c>
      <c r="HP30" s="168">
        <v>51302000</v>
      </c>
      <c r="HQ30" s="21"/>
      <c r="HR30" s="21"/>
      <c r="HS30" s="21"/>
      <c r="HT30" s="21"/>
      <c r="HU30" s="168">
        <v>24483000</v>
      </c>
      <c r="HV30" s="168">
        <v>21220000</v>
      </c>
      <c r="HW30" s="21"/>
      <c r="HX30" s="21"/>
      <c r="HY30" s="21"/>
      <c r="HZ30" s="21"/>
      <c r="IA30" s="21"/>
      <c r="IB30" s="21"/>
      <c r="IC30" s="21"/>
      <c r="ID30" s="21"/>
      <c r="IE30" s="168">
        <v>2090000</v>
      </c>
      <c r="IF30" s="168">
        <v>2038000</v>
      </c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  <c r="IU30" s="168">
        <v>8265000</v>
      </c>
      <c r="IV30" s="168">
        <v>11824000</v>
      </c>
      <c r="IW30" s="168">
        <v>11562000</v>
      </c>
      <c r="IX30" s="168">
        <v>13719000</v>
      </c>
      <c r="IY30" s="168">
        <v>-3309000</v>
      </c>
      <c r="IZ30" s="168">
        <v>145000</v>
      </c>
      <c r="JA30" s="21"/>
      <c r="JB30" s="21"/>
      <c r="JC30" s="21"/>
      <c r="JD30" s="21"/>
      <c r="JE30" s="21"/>
      <c r="JF30" s="21"/>
      <c r="JG30" s="21"/>
      <c r="JH30" s="21"/>
      <c r="JI30" s="168">
        <v>200976000</v>
      </c>
      <c r="JJ30" s="168">
        <v>180526000</v>
      </c>
      <c r="JK30" s="21"/>
      <c r="JL30" s="21"/>
      <c r="JM30" s="168">
        <v>212538000</v>
      </c>
      <c r="JN30" s="168">
        <v>194245000</v>
      </c>
      <c r="JO30" s="21"/>
      <c r="JP30" s="21"/>
      <c r="JQ30" s="21"/>
      <c r="JR30" s="21"/>
      <c r="JS30" s="21"/>
      <c r="JT30" s="21"/>
      <c r="JU30" s="21"/>
      <c r="JV30" s="21"/>
      <c r="JW30" s="168">
        <v>218109000</v>
      </c>
      <c r="JX30" s="168">
        <v>191850000</v>
      </c>
      <c r="JY30" s="21"/>
      <c r="JZ30" s="21"/>
      <c r="KA30" s="21"/>
      <c r="KB30" s="21"/>
      <c r="KC30" s="21"/>
      <c r="KD30" s="21"/>
      <c r="KE30" s="21"/>
      <c r="KF30" s="21"/>
      <c r="KG30" s="21"/>
      <c r="KH30" s="21"/>
      <c r="KI30" s="21"/>
      <c r="KJ30" s="21"/>
      <c r="KK30" s="21"/>
      <c r="KL30" s="21"/>
      <c r="KM30" s="21"/>
      <c r="KN30" s="21"/>
      <c r="KO30" s="21"/>
      <c r="KP30" s="21"/>
      <c r="KQ30" s="21"/>
      <c r="KR30" s="21"/>
      <c r="KS30" s="21"/>
      <c r="KT30" s="21"/>
      <c r="KU30" s="21"/>
      <c r="KV30" s="21"/>
      <c r="KW30" s="21"/>
      <c r="KX30" s="21"/>
      <c r="KY30" s="21"/>
      <c r="KZ30" s="21"/>
      <c r="LA30" s="168">
        <v>3585000</v>
      </c>
      <c r="LB30" s="168">
        <v>3585000</v>
      </c>
      <c r="LC30" s="21"/>
      <c r="LD30" s="21"/>
      <c r="LE30" s="21"/>
      <c r="LF30" s="21"/>
      <c r="LG30" s="21"/>
      <c r="LH30" s="21"/>
      <c r="LI30" s="21"/>
      <c r="LJ30" s="21"/>
      <c r="LK30" s="168">
        <v>31980000</v>
      </c>
      <c r="LL30" s="168">
        <v>31266000</v>
      </c>
      <c r="LM30" s="21"/>
      <c r="LN30" s="21"/>
      <c r="LO30" s="21"/>
      <c r="LP30" s="21"/>
      <c r="LQ30" s="21"/>
      <c r="LR30" s="21"/>
      <c r="LS30" s="21"/>
      <c r="LT30" s="21"/>
      <c r="LU30" s="21"/>
      <c r="LV30" s="21"/>
      <c r="LW30" s="21"/>
      <c r="LX30" s="21"/>
      <c r="LY30" s="21"/>
      <c r="LZ30" s="21"/>
      <c r="MA30" s="21"/>
      <c r="MB30" s="21"/>
      <c r="MC30" s="21"/>
      <c r="MD30" s="21"/>
      <c r="ME30" s="21"/>
      <c r="MF30" s="21"/>
      <c r="MG30" s="168">
        <v>405000</v>
      </c>
      <c r="MH30" s="168">
        <v>265000</v>
      </c>
      <c r="MI30" s="21"/>
      <c r="MJ30" s="21"/>
      <c r="MK30" s="21"/>
      <c r="ML30" s="21"/>
      <c r="MM30" s="21"/>
      <c r="MN30" s="21"/>
      <c r="MO30" s="21"/>
      <c r="MP30" s="21"/>
      <c r="MQ30" s="21"/>
      <c r="MR30" s="21"/>
      <c r="MS30" s="21"/>
      <c r="MT30" s="21"/>
      <c r="MU30" s="21"/>
      <c r="MV30" s="21"/>
      <c r="MW30" s="21"/>
      <c r="MX30" s="21"/>
      <c r="MY30" s="21"/>
      <c r="MZ30" s="21"/>
      <c r="NA30" s="21"/>
      <c r="NB30" s="21"/>
      <c r="NC30" s="21"/>
      <c r="ND30" s="21"/>
      <c r="NE30" s="21"/>
      <c r="NF30" s="21"/>
      <c r="NG30" s="168">
        <v>63889000</v>
      </c>
      <c r="NH30" s="168">
        <v>59546000</v>
      </c>
      <c r="NI30" s="21"/>
      <c r="NJ30" s="21"/>
      <c r="NK30" s="21"/>
      <c r="NL30" s="21"/>
      <c r="NM30" s="168">
        <v>75408000</v>
      </c>
      <c r="NN30" s="168">
        <v>91285000</v>
      </c>
      <c r="NO30" s="168">
        <v>257993000</v>
      </c>
      <c r="NP30" s="168">
        <v>188469000</v>
      </c>
      <c r="NQ30" s="168" t="s">
        <v>853</v>
      </c>
      <c r="NR30" s="168" t="s">
        <v>797</v>
      </c>
      <c r="NS30" s="168" t="s">
        <v>770</v>
      </c>
      <c r="NT30" s="168" t="s">
        <v>771</v>
      </c>
      <c r="NU30" s="168">
        <v>3003</v>
      </c>
      <c r="NV30" s="168" t="s">
        <v>2104</v>
      </c>
      <c r="NW30" s="168" t="s">
        <v>28</v>
      </c>
      <c r="NX30" s="168" t="s">
        <v>25</v>
      </c>
      <c r="NY30" s="169">
        <v>42916</v>
      </c>
      <c r="NZ30" s="169">
        <v>42551</v>
      </c>
      <c r="OA30" s="169">
        <v>43098</v>
      </c>
      <c r="OB30" s="168" t="s">
        <v>1191</v>
      </c>
      <c r="OC30" s="168">
        <v>12</v>
      </c>
      <c r="OD30" s="168" t="s">
        <v>2105</v>
      </c>
      <c r="OE30" s="168" t="s">
        <v>3282</v>
      </c>
      <c r="OF30" s="168" t="s">
        <v>2358</v>
      </c>
      <c r="OG30" s="168" t="s">
        <v>1914</v>
      </c>
      <c r="OH30" s="168" t="s">
        <v>794</v>
      </c>
      <c r="OI30" s="168" t="s">
        <v>766</v>
      </c>
      <c r="OJ30" s="168" t="s">
        <v>3240</v>
      </c>
      <c r="OK30" s="168" t="s">
        <v>796</v>
      </c>
    </row>
    <row r="31" spans="1:401" x14ac:dyDescent="0.2">
      <c r="A31" s="170" t="str">
        <f>Liste[[#This Row],[Siren]]</f>
        <v>402080345</v>
      </c>
      <c r="B31" s="198" t="str">
        <f>Liste[[#This Row],[Dénomination]]&amp;" - comptes "&amp;YEAR(Liste[[#This Row],[Date de cloture de l''exercice]])</f>
        <v>LACADEE INVESTISSEMENTS - comptes 2017</v>
      </c>
      <c r="C31" s="168">
        <v>311938</v>
      </c>
      <c r="D31" s="21"/>
      <c r="E31" s="21"/>
      <c r="F31" s="168">
        <v>959057</v>
      </c>
      <c r="G31" s="168">
        <v>1179338</v>
      </c>
      <c r="H31" s="168">
        <v>959057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168">
        <v>94207</v>
      </c>
      <c r="BD31" s="168">
        <v>4713702</v>
      </c>
      <c r="BE31" s="168">
        <v>4402892</v>
      </c>
      <c r="BF31" s="168">
        <v>4807910</v>
      </c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168">
        <v>1862785</v>
      </c>
      <c r="BY31" s="168">
        <v>2533662</v>
      </c>
      <c r="BZ31" s="168">
        <v>1862785</v>
      </c>
      <c r="CA31" s="21"/>
      <c r="CB31" s="21"/>
      <c r="CC31" s="21"/>
      <c r="CD31" s="168">
        <v>158122</v>
      </c>
      <c r="CE31" s="21"/>
      <c r="CF31" s="21"/>
      <c r="CG31" s="168">
        <v>158122</v>
      </c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168">
        <v>13546849</v>
      </c>
      <c r="EL31" s="168">
        <v>5762231</v>
      </c>
      <c r="EM31" s="168">
        <v>5798882</v>
      </c>
      <c r="EN31" s="168">
        <v>19309079</v>
      </c>
      <c r="EO31" s="168">
        <v>94207</v>
      </c>
      <c r="EP31" s="168">
        <v>10604828</v>
      </c>
      <c r="EQ31" s="168">
        <v>11144414</v>
      </c>
      <c r="ER31" s="168">
        <v>10699035</v>
      </c>
      <c r="ES31" s="168">
        <v>13641056</v>
      </c>
      <c r="ET31" s="168">
        <v>16470328</v>
      </c>
      <c r="EU31" s="168">
        <v>17044321</v>
      </c>
      <c r="EV31" s="168">
        <v>30111384</v>
      </c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168">
        <v>219163</v>
      </c>
      <c r="FX31" s="168">
        <v>321225</v>
      </c>
      <c r="FY31" s="168">
        <v>4084</v>
      </c>
      <c r="FZ31" s="168">
        <v>6373</v>
      </c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168">
        <v>2854552</v>
      </c>
      <c r="HF31" s="168">
        <v>2685140</v>
      </c>
      <c r="HG31" s="21"/>
      <c r="HH31" s="21"/>
      <c r="HI31" s="168">
        <v>133242</v>
      </c>
      <c r="HJ31" s="168">
        <v>58398</v>
      </c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168">
        <v>770975</v>
      </c>
      <c r="IV31" s="168">
        <v>988776</v>
      </c>
      <c r="IW31" s="168">
        <v>893880</v>
      </c>
      <c r="IX31" s="168">
        <v>1143836</v>
      </c>
      <c r="IY31" s="168">
        <v>-122905</v>
      </c>
      <c r="IZ31" s="168">
        <v>-155060</v>
      </c>
      <c r="JA31" s="21"/>
      <c r="JB31" s="21"/>
      <c r="JC31" s="21"/>
      <c r="JD31" s="21"/>
      <c r="JE31" s="168">
        <v>2130824</v>
      </c>
      <c r="JF31" s="168">
        <v>2125141</v>
      </c>
      <c r="JG31" s="21"/>
      <c r="JH31" s="21"/>
      <c r="JI31" s="21"/>
      <c r="JJ31" s="21"/>
      <c r="JK31" s="168">
        <v>150622</v>
      </c>
      <c r="JL31" s="168">
        <v>170910</v>
      </c>
      <c r="JM31" s="21"/>
      <c r="JN31" s="21"/>
      <c r="JO31" s="168">
        <v>16663</v>
      </c>
      <c r="JP31" s="168">
        <v>15845</v>
      </c>
      <c r="JQ31" s="21"/>
      <c r="JR31" s="21"/>
      <c r="JS31" s="21"/>
      <c r="JT31" s="21"/>
      <c r="JU31" s="21"/>
      <c r="JV31" s="21"/>
      <c r="JW31" s="168">
        <v>24738794</v>
      </c>
      <c r="JX31" s="168">
        <v>25150188</v>
      </c>
      <c r="JY31" s="21"/>
      <c r="JZ31" s="21"/>
      <c r="KA31" s="21"/>
      <c r="KB31" s="21"/>
      <c r="KC31" s="21"/>
      <c r="KD31" s="21"/>
      <c r="KE31" s="21"/>
      <c r="KF31" s="21"/>
      <c r="KG31" s="21"/>
      <c r="KH31" s="21"/>
      <c r="KI31" s="21"/>
      <c r="KJ31" s="21"/>
      <c r="KK31" s="21"/>
      <c r="KL31" s="21"/>
      <c r="KM31" s="21"/>
      <c r="KN31" s="21"/>
      <c r="KO31" s="21"/>
      <c r="KP31" s="21"/>
      <c r="KQ31" s="168">
        <v>1144322</v>
      </c>
      <c r="KR31" s="168">
        <v>1108605</v>
      </c>
      <c r="KS31" s="21"/>
      <c r="KT31" s="21"/>
      <c r="KU31" s="21"/>
      <c r="KV31" s="21"/>
      <c r="KW31" s="21"/>
      <c r="KX31" s="21"/>
      <c r="KY31" s="21"/>
      <c r="KZ31" s="21"/>
      <c r="LA31" s="168">
        <v>2000000</v>
      </c>
      <c r="LB31" s="168">
        <v>2000000</v>
      </c>
      <c r="LC31" s="21"/>
      <c r="LD31" s="21"/>
      <c r="LE31" s="21"/>
      <c r="LF31" s="21"/>
      <c r="LG31" s="168">
        <v>7440645</v>
      </c>
      <c r="LH31" s="168">
        <v>8613539</v>
      </c>
      <c r="LI31" s="21"/>
      <c r="LJ31" s="21"/>
      <c r="LK31" s="168">
        <v>1456572</v>
      </c>
      <c r="LL31" s="168">
        <v>2019084</v>
      </c>
      <c r="LM31" s="21"/>
      <c r="LN31" s="21"/>
      <c r="LO31" s="21"/>
      <c r="LP31" s="21"/>
      <c r="LQ31" s="21"/>
      <c r="LR31" s="21"/>
      <c r="LS31" s="21"/>
      <c r="LT31" s="21"/>
      <c r="LU31" s="21"/>
      <c r="LV31" s="21"/>
      <c r="LW31" s="21"/>
      <c r="LX31" s="21"/>
      <c r="LY31" s="21"/>
      <c r="LZ31" s="21"/>
      <c r="MA31" s="21"/>
      <c r="MB31" s="21"/>
      <c r="MC31" s="168">
        <v>4857578</v>
      </c>
      <c r="MD31" s="168">
        <v>5506498</v>
      </c>
      <c r="ME31" s="21"/>
      <c r="MF31" s="21"/>
      <c r="MG31" s="21"/>
      <c r="MH31" s="21"/>
      <c r="MI31" s="21"/>
      <c r="MJ31" s="21"/>
      <c r="MK31" s="21"/>
      <c r="ML31" s="21"/>
      <c r="MM31" s="21"/>
      <c r="MN31" s="21"/>
      <c r="MO31" s="21"/>
      <c r="MP31" s="21"/>
      <c r="MQ31" s="21"/>
      <c r="MR31" s="21"/>
      <c r="MS31" s="21"/>
      <c r="MT31" s="21"/>
      <c r="MU31" s="21"/>
      <c r="MV31" s="21"/>
      <c r="MW31" s="21"/>
      <c r="MX31" s="21"/>
      <c r="MY31" s="21"/>
      <c r="MZ31" s="21"/>
      <c r="NA31" s="21"/>
      <c r="NB31" s="21"/>
      <c r="NC31" s="168">
        <v>538009</v>
      </c>
      <c r="ND31" s="168">
        <v>694837</v>
      </c>
      <c r="NE31" s="21"/>
      <c r="NF31" s="21"/>
      <c r="NG31" s="168">
        <v>8667625</v>
      </c>
      <c r="NH31" s="168">
        <v>8129614</v>
      </c>
      <c r="NI31" s="21"/>
      <c r="NJ31" s="21"/>
      <c r="NK31" s="168">
        <v>72332</v>
      </c>
      <c r="NL31" s="168">
        <v>68248</v>
      </c>
      <c r="NM31" s="168">
        <v>7458472</v>
      </c>
      <c r="NN31" s="168">
        <v>8634187</v>
      </c>
      <c r="NO31" s="168">
        <v>16470328</v>
      </c>
      <c r="NP31" s="168">
        <v>17044321</v>
      </c>
      <c r="NQ31" s="168" t="s">
        <v>1123</v>
      </c>
      <c r="NR31" s="168" t="s">
        <v>804</v>
      </c>
      <c r="NS31" s="168" t="s">
        <v>770</v>
      </c>
      <c r="NT31" s="168" t="s">
        <v>771</v>
      </c>
      <c r="NU31" s="168">
        <v>6403</v>
      </c>
      <c r="NV31" s="168" t="s">
        <v>2104</v>
      </c>
      <c r="NW31" s="168" t="s">
        <v>28</v>
      </c>
      <c r="NX31" s="168" t="s">
        <v>25</v>
      </c>
      <c r="NY31" s="169">
        <v>42916</v>
      </c>
      <c r="NZ31" s="169">
        <v>42551</v>
      </c>
      <c r="OA31" s="169">
        <v>43068</v>
      </c>
      <c r="OB31" s="168" t="s">
        <v>1124</v>
      </c>
      <c r="OC31" s="168">
        <v>12</v>
      </c>
      <c r="OD31" s="168" t="s">
        <v>2106</v>
      </c>
      <c r="OE31" s="168" t="s">
        <v>2310</v>
      </c>
      <c r="OF31" s="168" t="s">
        <v>2311</v>
      </c>
      <c r="OG31" s="168" t="s">
        <v>1889</v>
      </c>
      <c r="OH31" s="168" t="s">
        <v>831</v>
      </c>
      <c r="OI31" s="168" t="s">
        <v>766</v>
      </c>
      <c r="OJ31" s="168" t="s">
        <v>3240</v>
      </c>
      <c r="OK31" s="168" t="s">
        <v>803</v>
      </c>
    </row>
    <row r="32" spans="1:401" x14ac:dyDescent="0.2">
      <c r="A32" s="170" t="str">
        <f>Liste[[#This Row],[Siren]]</f>
        <v>450490917</v>
      </c>
      <c r="B32" s="198" t="str">
        <f>Liste[[#This Row],[Dénomination]]&amp;" - comptes "&amp;YEAR(Liste[[#This Row],[Date de cloture de l''exercice]])</f>
        <v>FRASTEYA - comptes 2017</v>
      </c>
      <c r="C32" s="21"/>
      <c r="D32" s="21"/>
      <c r="E32" s="21"/>
      <c r="F32" s="168">
        <v>2461362</v>
      </c>
      <c r="G32" s="168">
        <v>1458929</v>
      </c>
      <c r="H32" s="168">
        <v>2461362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168">
        <v>19628</v>
      </c>
      <c r="BD32" s="168">
        <v>884126</v>
      </c>
      <c r="BE32" s="168">
        <v>721780</v>
      </c>
      <c r="BF32" s="168">
        <v>903754</v>
      </c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168">
        <v>751345</v>
      </c>
      <c r="BY32" s="168">
        <v>2021636</v>
      </c>
      <c r="BZ32" s="168">
        <v>751345</v>
      </c>
      <c r="CA32" s="21"/>
      <c r="CB32" s="21"/>
      <c r="CC32" s="21"/>
      <c r="CD32" s="168">
        <v>633618</v>
      </c>
      <c r="CE32" s="168">
        <v>1622950</v>
      </c>
      <c r="CF32" s="168">
        <v>1622950</v>
      </c>
      <c r="CG32" s="168">
        <v>2256568</v>
      </c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168">
        <v>6332340</v>
      </c>
      <c r="EL32" s="168">
        <v>4574135</v>
      </c>
      <c r="EM32" s="168">
        <v>4705157</v>
      </c>
      <c r="EN32" s="168">
        <v>10906475</v>
      </c>
      <c r="EO32" s="168">
        <v>712368</v>
      </c>
      <c r="EP32" s="168">
        <v>23813905</v>
      </c>
      <c r="EQ32" s="168">
        <v>21174811</v>
      </c>
      <c r="ER32" s="168">
        <v>24526273</v>
      </c>
      <c r="ES32" s="168">
        <v>7044708</v>
      </c>
      <c r="ET32" s="168">
        <v>28388040</v>
      </c>
      <c r="EU32" s="168">
        <v>25879968</v>
      </c>
      <c r="EV32" s="168">
        <v>35432748</v>
      </c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168">
        <v>-119580</v>
      </c>
      <c r="FJ32" s="168">
        <v>627523</v>
      </c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168">
        <v>-627381</v>
      </c>
      <c r="FX32" s="168">
        <v>-710693</v>
      </c>
      <c r="FY32" s="168">
        <v>46360</v>
      </c>
      <c r="FZ32" s="168">
        <v>264194</v>
      </c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168">
        <v>1777647</v>
      </c>
      <c r="GN32" s="168">
        <v>2064173</v>
      </c>
      <c r="GO32" s="168">
        <v>1777647</v>
      </c>
      <c r="GP32" s="168">
        <v>2384660</v>
      </c>
      <c r="GQ32" s="21"/>
      <c r="GR32" s="21"/>
      <c r="GS32" s="168">
        <v>1731287</v>
      </c>
      <c r="GT32" s="168">
        <v>1799979</v>
      </c>
      <c r="GU32" s="168">
        <v>-269241</v>
      </c>
      <c r="GV32" s="168">
        <v>-140298</v>
      </c>
      <c r="GW32" s="168">
        <v>179660</v>
      </c>
      <c r="GX32" s="168">
        <v>767821</v>
      </c>
      <c r="GY32" s="21"/>
      <c r="GZ32" s="21"/>
      <c r="HA32" s="21"/>
      <c r="HB32" s="21"/>
      <c r="HC32" s="168">
        <v>8441621</v>
      </c>
      <c r="HD32" s="168">
        <v>8620378</v>
      </c>
      <c r="HE32" s="21"/>
      <c r="HF32" s="21"/>
      <c r="HG32" s="21"/>
      <c r="HH32" s="21"/>
      <c r="HI32" s="168">
        <v>1133256</v>
      </c>
      <c r="HJ32" s="168">
        <v>842527</v>
      </c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168">
        <v>483673</v>
      </c>
      <c r="IF32" s="168">
        <v>436954</v>
      </c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  <c r="IU32" s="168">
        <v>2524598</v>
      </c>
      <c r="IV32" s="168">
        <v>1549674</v>
      </c>
      <c r="IW32" s="168">
        <v>1731640</v>
      </c>
      <c r="IX32" s="168">
        <v>1897773</v>
      </c>
      <c r="IY32" s="168">
        <v>792958</v>
      </c>
      <c r="IZ32" s="168">
        <v>348099</v>
      </c>
      <c r="JA32" s="21"/>
      <c r="JB32" s="21"/>
      <c r="JC32" s="21"/>
      <c r="JD32" s="21"/>
      <c r="JE32" s="21"/>
      <c r="JF32" s="21"/>
      <c r="JG32" s="21"/>
      <c r="JH32" s="21"/>
      <c r="JI32" s="168">
        <v>49647332</v>
      </c>
      <c r="JJ32" s="168">
        <v>47577617</v>
      </c>
      <c r="JK32" s="168">
        <v>241749</v>
      </c>
      <c r="JL32" s="168">
        <v>366045</v>
      </c>
      <c r="JM32" s="168">
        <v>51378972</v>
      </c>
      <c r="JN32" s="168">
        <v>49475389</v>
      </c>
      <c r="JO32" s="168">
        <v>1034717</v>
      </c>
      <c r="JP32" s="168">
        <v>714143</v>
      </c>
      <c r="JQ32" s="21"/>
      <c r="JR32" s="21"/>
      <c r="JS32" s="21"/>
      <c r="JT32" s="21"/>
      <c r="JU32" s="21"/>
      <c r="JV32" s="21"/>
      <c r="JW32" s="168">
        <v>50245716</v>
      </c>
      <c r="JX32" s="168">
        <v>48632862</v>
      </c>
      <c r="JY32" s="21"/>
      <c r="JZ32" s="21"/>
      <c r="KA32" s="21"/>
      <c r="KB32" s="21"/>
      <c r="KC32" s="21"/>
      <c r="KD32" s="21"/>
      <c r="KE32" s="21"/>
      <c r="KF32" s="21"/>
      <c r="KG32" s="21"/>
      <c r="KH32" s="21"/>
      <c r="KI32" s="21"/>
      <c r="KJ32" s="21"/>
      <c r="KK32" s="21"/>
      <c r="KL32" s="21"/>
      <c r="KM32" s="21"/>
      <c r="KN32" s="21"/>
      <c r="KO32" s="21"/>
      <c r="KP32" s="21"/>
      <c r="KQ32" s="21"/>
      <c r="KR32" s="21"/>
      <c r="KS32" s="21"/>
      <c r="KT32" s="21"/>
      <c r="KU32" s="21"/>
      <c r="KV32" s="21"/>
      <c r="KW32" s="21"/>
      <c r="KX32" s="21"/>
      <c r="KY32" s="21"/>
      <c r="KZ32" s="21"/>
      <c r="LA32" s="168">
        <v>40000</v>
      </c>
      <c r="LB32" s="168">
        <v>40000</v>
      </c>
      <c r="LC32" s="21"/>
      <c r="LD32" s="21"/>
      <c r="LE32" s="21"/>
      <c r="LF32" s="21"/>
      <c r="LG32" s="21"/>
      <c r="LH32" s="21"/>
      <c r="LI32" s="21"/>
      <c r="LJ32" s="21"/>
      <c r="LK32" s="168">
        <v>3353158</v>
      </c>
      <c r="LL32" s="168">
        <v>2691065</v>
      </c>
      <c r="LM32" s="21"/>
      <c r="LN32" s="21"/>
      <c r="LO32" s="21"/>
      <c r="LP32" s="21"/>
      <c r="LQ32" s="21"/>
      <c r="LR32" s="21"/>
      <c r="LS32" s="21"/>
      <c r="LT32" s="21"/>
      <c r="LU32" s="21"/>
      <c r="LV32" s="21"/>
      <c r="LW32" s="21"/>
      <c r="LX32" s="21"/>
      <c r="LY32" s="21"/>
      <c r="LZ32" s="21"/>
      <c r="MA32" s="21"/>
      <c r="MB32" s="21"/>
      <c r="MC32" s="21"/>
      <c r="MD32" s="21"/>
      <c r="ME32" s="21"/>
      <c r="MF32" s="21"/>
      <c r="MG32" s="21"/>
      <c r="MH32" s="21"/>
      <c r="MI32" s="21"/>
      <c r="MJ32" s="21"/>
      <c r="MK32" s="21"/>
      <c r="ML32" s="21"/>
      <c r="MM32" s="21"/>
      <c r="MN32" s="21"/>
      <c r="MO32" s="21"/>
      <c r="MP32" s="21"/>
      <c r="MQ32" s="21"/>
      <c r="MR32" s="21"/>
      <c r="MS32" s="21"/>
      <c r="MT32" s="21"/>
      <c r="MU32" s="21"/>
      <c r="MV32" s="21"/>
      <c r="MW32" s="21"/>
      <c r="MX32" s="21"/>
      <c r="MY32" s="21"/>
      <c r="MZ32" s="21"/>
      <c r="NA32" s="21"/>
      <c r="NB32" s="21"/>
      <c r="NC32" s="168">
        <v>1731287</v>
      </c>
      <c r="ND32" s="168">
        <v>1799979</v>
      </c>
      <c r="NE32" s="21"/>
      <c r="NF32" s="21"/>
      <c r="NG32" s="168">
        <v>11431667</v>
      </c>
      <c r="NH32" s="168">
        <v>9762346</v>
      </c>
      <c r="NI32" s="21"/>
      <c r="NJ32" s="21"/>
      <c r="NK32" s="168">
        <v>374816</v>
      </c>
      <c r="NL32" s="168">
        <v>328908</v>
      </c>
      <c r="NM32" s="168">
        <v>16307041</v>
      </c>
      <c r="NN32" s="168">
        <v>15598123</v>
      </c>
      <c r="NO32" s="168">
        <v>28368040</v>
      </c>
      <c r="NP32" s="168">
        <v>26879968</v>
      </c>
      <c r="NQ32" s="168" t="s">
        <v>1088</v>
      </c>
      <c r="NR32" s="168" t="s">
        <v>1089</v>
      </c>
      <c r="NS32" s="168" t="s">
        <v>770</v>
      </c>
      <c r="NT32" s="168" t="s">
        <v>771</v>
      </c>
      <c r="NU32" s="168">
        <v>7301</v>
      </c>
      <c r="NV32" s="168" t="s">
        <v>2104</v>
      </c>
      <c r="NW32" s="168" t="s">
        <v>28</v>
      </c>
      <c r="NX32" s="168" t="s">
        <v>25</v>
      </c>
      <c r="NY32" s="169">
        <v>42916</v>
      </c>
      <c r="NZ32" s="169">
        <v>42551</v>
      </c>
      <c r="OA32" s="169">
        <v>43119</v>
      </c>
      <c r="OB32" s="168" t="s">
        <v>1090</v>
      </c>
      <c r="OC32" s="168">
        <v>12</v>
      </c>
      <c r="OD32" s="168" t="s">
        <v>2105</v>
      </c>
      <c r="OE32" s="168" t="s">
        <v>2228</v>
      </c>
      <c r="OF32" s="168" t="s">
        <v>2282</v>
      </c>
      <c r="OG32" s="168" t="s">
        <v>1874</v>
      </c>
      <c r="OH32" s="168" t="s">
        <v>817</v>
      </c>
      <c r="OI32" s="168" t="s">
        <v>766</v>
      </c>
      <c r="OJ32" s="168" t="s">
        <v>3240</v>
      </c>
      <c r="OK32" s="168" t="s">
        <v>1087</v>
      </c>
    </row>
    <row r="33" spans="1:401" x14ac:dyDescent="0.2">
      <c r="A33" s="170" t="str">
        <f>Liste[[#This Row],[Siren]]</f>
        <v>382489995</v>
      </c>
      <c r="B33" s="198" t="str">
        <f>Liste[[#This Row],[Dénomination]]&amp;" - comptes "&amp;YEAR(Liste[[#This Row],[Date de cloture de l''exercice]])</f>
        <v>CATS - COMPAGNIE D ASSISTANCE TECHNIQUE ET SERVICES - comptes 2017</v>
      </c>
      <c r="C33" s="21"/>
      <c r="D33" s="21"/>
      <c r="E33" s="21"/>
      <c r="F33" s="168">
        <v>2441</v>
      </c>
      <c r="G33" s="168">
        <v>2447</v>
      </c>
      <c r="H33" s="168">
        <v>2441</v>
      </c>
      <c r="I33" s="168">
        <v>994350</v>
      </c>
      <c r="J33" s="168">
        <v>300570</v>
      </c>
      <c r="K33" s="168">
        <v>41606</v>
      </c>
      <c r="L33" s="168">
        <v>1294920</v>
      </c>
      <c r="M33" s="168">
        <v>177517</v>
      </c>
      <c r="N33" s="168">
        <v>1074028</v>
      </c>
      <c r="O33" s="168">
        <v>1101167</v>
      </c>
      <c r="P33" s="168">
        <v>1251545</v>
      </c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168">
        <v>86597</v>
      </c>
      <c r="BA33" s="168">
        <v>84482</v>
      </c>
      <c r="BB33" s="168">
        <v>86597</v>
      </c>
      <c r="BC33" s="168">
        <v>20786</v>
      </c>
      <c r="BD33" s="168">
        <v>6748609</v>
      </c>
      <c r="BE33" s="168">
        <v>6656222</v>
      </c>
      <c r="BF33" s="168">
        <v>6769394</v>
      </c>
      <c r="BG33" s="21"/>
      <c r="BH33" s="21"/>
      <c r="BI33" s="21"/>
      <c r="BJ33" s="21"/>
      <c r="BK33" s="168">
        <v>650075</v>
      </c>
      <c r="BL33" s="168">
        <v>912472</v>
      </c>
      <c r="BM33" s="168">
        <v>913445</v>
      </c>
      <c r="BN33" s="168">
        <v>1562547</v>
      </c>
      <c r="BO33" s="21"/>
      <c r="BP33" s="21"/>
      <c r="BQ33" s="21"/>
      <c r="BR33" s="21"/>
      <c r="BS33" s="21"/>
      <c r="BT33" s="21"/>
      <c r="BU33" s="21"/>
      <c r="BV33" s="21"/>
      <c r="BW33" s="21"/>
      <c r="BX33" s="168">
        <v>9766711</v>
      </c>
      <c r="BY33" s="168">
        <v>7756634</v>
      </c>
      <c r="BZ33" s="168">
        <v>9766711</v>
      </c>
      <c r="CA33" s="21"/>
      <c r="CB33" s="21"/>
      <c r="CC33" s="21"/>
      <c r="CD33" s="168">
        <v>213863</v>
      </c>
      <c r="CE33" s="21"/>
      <c r="CF33" s="168">
        <v>8917</v>
      </c>
      <c r="CG33" s="168">
        <v>213863</v>
      </c>
      <c r="CH33" s="21"/>
      <c r="CI33" s="21"/>
      <c r="CJ33" s="21"/>
      <c r="CK33" s="21"/>
      <c r="CL33" s="21"/>
      <c r="CM33" s="21"/>
      <c r="CN33" s="21"/>
      <c r="CO33" s="21"/>
      <c r="CP33" s="21"/>
      <c r="CQ33" s="168">
        <v>130748</v>
      </c>
      <c r="CR33" s="168">
        <v>130748</v>
      </c>
      <c r="CS33" s="168">
        <v>130748</v>
      </c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168">
        <v>1209588</v>
      </c>
      <c r="DG33" s="168">
        <v>444553</v>
      </c>
      <c r="DH33" s="168">
        <v>604370</v>
      </c>
      <c r="DI33" s="168">
        <v>1654141</v>
      </c>
      <c r="DJ33" s="21"/>
      <c r="DK33" s="21"/>
      <c r="DL33" s="21"/>
      <c r="DM33" s="21"/>
      <c r="DN33" s="21"/>
      <c r="DO33" s="21"/>
      <c r="DP33" s="21"/>
      <c r="DQ33" s="21"/>
      <c r="DR33" s="21"/>
      <c r="DS33" s="168">
        <v>50691</v>
      </c>
      <c r="DT33" s="168">
        <v>135691</v>
      </c>
      <c r="DU33" s="168">
        <v>50691</v>
      </c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168">
        <v>3551296</v>
      </c>
      <c r="EL33" s="168">
        <v>3524925</v>
      </c>
      <c r="EM33" s="168">
        <v>3590325</v>
      </c>
      <c r="EN33" s="168">
        <v>7076221</v>
      </c>
      <c r="EO33" s="168">
        <v>20786</v>
      </c>
      <c r="EP33" s="168">
        <v>32313363</v>
      </c>
      <c r="EQ33" s="168">
        <v>34563815</v>
      </c>
      <c r="ER33" s="168">
        <v>32334148</v>
      </c>
      <c r="ES33" s="168">
        <v>3572082</v>
      </c>
      <c r="ET33" s="168">
        <v>35838287</v>
      </c>
      <c r="EU33" s="168">
        <v>38154141</v>
      </c>
      <c r="EV33" s="168">
        <v>39410369</v>
      </c>
      <c r="EW33" s="168">
        <v>166319</v>
      </c>
      <c r="EX33" s="168">
        <v>352941</v>
      </c>
      <c r="EY33" s="168">
        <v>391401</v>
      </c>
      <c r="EZ33" s="168">
        <v>519260</v>
      </c>
      <c r="FA33" s="21"/>
      <c r="FB33" s="21"/>
      <c r="FC33" s="21"/>
      <c r="FD33" s="21"/>
      <c r="FE33" s="21"/>
      <c r="FF33" s="21"/>
      <c r="FG33" s="21"/>
      <c r="FH33" s="21"/>
      <c r="FI33" s="168">
        <v>181438</v>
      </c>
      <c r="FJ33" s="168">
        <v>149395</v>
      </c>
      <c r="FK33" s="21"/>
      <c r="FL33" s="21"/>
      <c r="FM33" s="168">
        <v>5125</v>
      </c>
      <c r="FN33" s="168">
        <v>4296</v>
      </c>
      <c r="FO33" s="21"/>
      <c r="FP33" s="21"/>
      <c r="FQ33" s="21"/>
      <c r="FR33" s="21"/>
      <c r="FS33" s="21"/>
      <c r="FT33" s="21"/>
      <c r="FU33" s="21"/>
      <c r="FV33" s="168">
        <v>-340</v>
      </c>
      <c r="FW33" s="168">
        <v>1290050</v>
      </c>
      <c r="FX33" s="168">
        <v>1031848</v>
      </c>
      <c r="FY33" s="168">
        <v>302671</v>
      </c>
      <c r="FZ33" s="168">
        <v>327280</v>
      </c>
      <c r="GA33" s="21"/>
      <c r="GB33" s="21"/>
      <c r="GC33" s="168">
        <v>579</v>
      </c>
      <c r="GD33" s="168">
        <v>17701</v>
      </c>
      <c r="GE33" s="21"/>
      <c r="GF33" s="21"/>
      <c r="GG33" s="21"/>
      <c r="GH33" s="21"/>
      <c r="GI33" s="21"/>
      <c r="GJ33" s="21"/>
      <c r="GK33" s="21"/>
      <c r="GL33" s="21"/>
      <c r="GM33" s="168">
        <v>2551319</v>
      </c>
      <c r="GN33" s="168">
        <v>2689357</v>
      </c>
      <c r="GO33" s="168">
        <v>2551319</v>
      </c>
      <c r="GP33" s="168">
        <v>2689357</v>
      </c>
      <c r="GQ33" s="21"/>
      <c r="GR33" s="21"/>
      <c r="GS33" s="168">
        <v>2248648</v>
      </c>
      <c r="GT33" s="168">
        <v>2362077</v>
      </c>
      <c r="GU33" s="168">
        <v>16402</v>
      </c>
      <c r="GV33" s="168">
        <v>54621</v>
      </c>
      <c r="GW33" s="168">
        <v>197840</v>
      </c>
      <c r="GX33" s="168">
        <v>204016</v>
      </c>
      <c r="GY33" s="21"/>
      <c r="GZ33" s="21"/>
      <c r="HA33" s="168">
        <v>6485491</v>
      </c>
      <c r="HB33" s="168">
        <v>9522108</v>
      </c>
      <c r="HC33" s="168">
        <v>3570522</v>
      </c>
      <c r="HD33" s="168">
        <v>3115568</v>
      </c>
      <c r="HE33" s="168">
        <v>35</v>
      </c>
      <c r="HF33" s="168">
        <v>138</v>
      </c>
      <c r="HG33" s="21"/>
      <c r="HH33" s="21"/>
      <c r="HI33" s="168">
        <v>2545</v>
      </c>
      <c r="HJ33" s="168">
        <v>3874</v>
      </c>
      <c r="HK33" s="21"/>
      <c r="HL33" s="21"/>
      <c r="HM33" s="21"/>
      <c r="HN33" s="21"/>
      <c r="HO33" s="168">
        <v>2240783</v>
      </c>
      <c r="HP33" s="168">
        <v>2301988</v>
      </c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168">
        <v>488442</v>
      </c>
      <c r="IF33" s="168">
        <v>371183</v>
      </c>
      <c r="IG33" s="21"/>
      <c r="IH33" s="21"/>
      <c r="II33" s="21"/>
      <c r="IJ33" s="21"/>
      <c r="IK33" s="21"/>
      <c r="IL33" s="21"/>
      <c r="IM33" s="168">
        <v>-3304606</v>
      </c>
      <c r="IN33" s="168">
        <v>5687711</v>
      </c>
      <c r="IO33" s="21"/>
      <c r="IP33" s="21"/>
      <c r="IQ33" s="21"/>
      <c r="IR33" s="21"/>
      <c r="IS33" s="21"/>
      <c r="IT33" s="21"/>
      <c r="IU33" s="168">
        <v>3659926</v>
      </c>
      <c r="IV33" s="168">
        <v>3571470</v>
      </c>
      <c r="IW33" s="168">
        <v>3069051</v>
      </c>
      <c r="IX33" s="168">
        <v>3159545</v>
      </c>
      <c r="IY33" s="168">
        <v>590875</v>
      </c>
      <c r="IZ33" s="168">
        <v>411925</v>
      </c>
      <c r="JA33" s="168">
        <v>114738</v>
      </c>
      <c r="JB33" s="168">
        <v>159510</v>
      </c>
      <c r="JC33" s="21"/>
      <c r="JD33" s="21"/>
      <c r="JE33" s="168">
        <v>6142756</v>
      </c>
      <c r="JF33" s="168">
        <v>5994628</v>
      </c>
      <c r="JG33" s="168">
        <v>3006</v>
      </c>
      <c r="JH33" s="168">
        <v>2700</v>
      </c>
      <c r="JI33" s="168">
        <v>29329477</v>
      </c>
      <c r="JJ33" s="168">
        <v>32775238</v>
      </c>
      <c r="JK33" s="168">
        <v>61761</v>
      </c>
      <c r="JL33" s="168">
        <v>811441</v>
      </c>
      <c r="JM33" s="168">
        <v>32398528</v>
      </c>
      <c r="JN33" s="168">
        <v>35934784</v>
      </c>
      <c r="JO33" s="168">
        <v>652635</v>
      </c>
      <c r="JP33" s="168">
        <v>493069</v>
      </c>
      <c r="JQ33" s="168">
        <v>220829</v>
      </c>
      <c r="JR33" s="168">
        <v>209623</v>
      </c>
      <c r="JS33" s="21"/>
      <c r="JT33" s="21"/>
      <c r="JU33" s="21"/>
      <c r="JV33" s="21"/>
      <c r="JW33" s="168">
        <v>35582846</v>
      </c>
      <c r="JX33" s="168">
        <v>30080988</v>
      </c>
      <c r="JY33" s="21"/>
      <c r="JZ33" s="21"/>
      <c r="KA33" s="21"/>
      <c r="KB33" s="21"/>
      <c r="KC33" s="21"/>
      <c r="KD33" s="21"/>
      <c r="KE33" s="21"/>
      <c r="KF33" s="21"/>
      <c r="KG33" s="21"/>
      <c r="KH33" s="21"/>
      <c r="KI33" s="21"/>
      <c r="KJ33" s="21"/>
      <c r="KK33" s="21"/>
      <c r="KL33" s="21"/>
      <c r="KM33" s="21"/>
      <c r="KN33" s="21"/>
      <c r="KO33" s="21"/>
      <c r="KP33" s="21"/>
      <c r="KQ33" s="21"/>
      <c r="KR33" s="21"/>
      <c r="KS33" s="21"/>
      <c r="KT33" s="21"/>
      <c r="KU33" s="168">
        <v>3349024</v>
      </c>
      <c r="KV33" s="168">
        <v>2662207</v>
      </c>
      <c r="KW33" s="21"/>
      <c r="KX33" s="21"/>
      <c r="KY33" s="168">
        <v>17033210</v>
      </c>
      <c r="KZ33" s="168">
        <v>18882552</v>
      </c>
      <c r="LA33" s="168">
        <v>480000</v>
      </c>
      <c r="LB33" s="168">
        <v>480000</v>
      </c>
      <c r="LC33" s="168">
        <v>1548133</v>
      </c>
      <c r="LD33" s="168">
        <v>1337004</v>
      </c>
      <c r="LE33" s="168">
        <v>302671</v>
      </c>
      <c r="LF33" s="168">
        <v>327280</v>
      </c>
      <c r="LG33" s="21"/>
      <c r="LH33" s="21"/>
      <c r="LI33" s="168">
        <v>3095701</v>
      </c>
      <c r="LJ33" s="168">
        <v>3131538</v>
      </c>
      <c r="LK33" s="168">
        <v>2614443</v>
      </c>
      <c r="LL33" s="168">
        <v>4648792</v>
      </c>
      <c r="LM33" s="21"/>
      <c r="LN33" s="21"/>
      <c r="LO33" s="21"/>
      <c r="LP33" s="21"/>
      <c r="LQ33" s="21"/>
      <c r="LR33" s="21"/>
      <c r="LS33" s="21"/>
      <c r="LT33" s="21"/>
      <c r="LU33" s="168">
        <v>-74806</v>
      </c>
      <c r="LV33" s="168">
        <v>-64726</v>
      </c>
      <c r="LW33" s="21"/>
      <c r="LX33" s="21"/>
      <c r="LY33" s="21"/>
      <c r="LZ33" s="21"/>
      <c r="MA33" s="168">
        <v>35692</v>
      </c>
      <c r="MB33" s="168">
        <v>2959</v>
      </c>
      <c r="MC33" s="21"/>
      <c r="MD33" s="21"/>
      <c r="ME33" s="21"/>
      <c r="MF33" s="21"/>
      <c r="MG33" s="21"/>
      <c r="MH33" s="21"/>
      <c r="MI33" s="21"/>
      <c r="MJ33" s="21"/>
      <c r="MK33" s="21"/>
      <c r="ML33" s="21"/>
      <c r="MM33" s="168">
        <v>405906</v>
      </c>
      <c r="MN33" s="21"/>
      <c r="MO33" s="21"/>
      <c r="MP33" s="21"/>
      <c r="MQ33" s="21"/>
      <c r="MR33" s="21"/>
      <c r="MS33" s="168">
        <v>6303</v>
      </c>
      <c r="MT33" s="168">
        <v>5967</v>
      </c>
      <c r="MU33" s="21"/>
      <c r="MV33" s="21"/>
      <c r="MW33" s="168">
        <v>48000</v>
      </c>
      <c r="MX33" s="168">
        <v>48000</v>
      </c>
      <c r="MY33" s="21"/>
      <c r="MZ33" s="21"/>
      <c r="NA33" s="21"/>
      <c r="NB33" s="21"/>
      <c r="NC33" s="168">
        <v>2248648</v>
      </c>
      <c r="ND33" s="168">
        <v>2362077</v>
      </c>
      <c r="NE33" s="21"/>
      <c r="NF33" s="21"/>
      <c r="NG33" s="168">
        <v>10628036</v>
      </c>
      <c r="NH33" s="168">
        <v>9590098</v>
      </c>
      <c r="NI33" s="21"/>
      <c r="NJ33" s="21"/>
      <c r="NK33" s="168">
        <v>1768637</v>
      </c>
      <c r="NL33" s="168">
        <v>1585950</v>
      </c>
      <c r="NM33" s="168">
        <v>23292997</v>
      </c>
      <c r="NN33" s="168">
        <v>26801728</v>
      </c>
      <c r="NO33" s="168">
        <v>35838287</v>
      </c>
      <c r="NP33" s="168">
        <v>38154141</v>
      </c>
      <c r="NQ33" s="168" t="s">
        <v>1167</v>
      </c>
      <c r="NR33" s="168" t="s">
        <v>1168</v>
      </c>
      <c r="NS33" s="168" t="s">
        <v>770</v>
      </c>
      <c r="NT33" s="168" t="s">
        <v>771</v>
      </c>
      <c r="NU33" s="168">
        <v>7606</v>
      </c>
      <c r="NV33" s="168" t="s">
        <v>2104</v>
      </c>
      <c r="NW33" s="168" t="s">
        <v>28</v>
      </c>
      <c r="NX33" s="168" t="s">
        <v>25</v>
      </c>
      <c r="NY33" s="169">
        <v>42916</v>
      </c>
      <c r="NZ33" s="169">
        <v>42551</v>
      </c>
      <c r="OA33" s="169">
        <v>43126</v>
      </c>
      <c r="OB33" s="168" t="s">
        <v>1169</v>
      </c>
      <c r="OC33" s="168">
        <v>12</v>
      </c>
      <c r="OD33" s="168" t="s">
        <v>2105</v>
      </c>
      <c r="OE33" s="168" t="s">
        <v>2202</v>
      </c>
      <c r="OF33" s="168" t="s">
        <v>2343</v>
      </c>
      <c r="OG33" s="168" t="s">
        <v>1909</v>
      </c>
      <c r="OH33" s="168" t="s">
        <v>1111</v>
      </c>
      <c r="OI33" s="168" t="s">
        <v>766</v>
      </c>
      <c r="OJ33" s="168" t="s">
        <v>3240</v>
      </c>
      <c r="OK33" s="168" t="s">
        <v>1166</v>
      </c>
    </row>
    <row r="34" spans="1:401" x14ac:dyDescent="0.2">
      <c r="A34" s="170" t="str">
        <f>Liste[[#This Row],[Siren]]</f>
        <v>325455715</v>
      </c>
      <c r="B34" s="198" t="str">
        <f>Liste[[#This Row],[Dénomination]]&amp;" - comptes "&amp;YEAR(Liste[[#This Row],[Date de cloture de l''exercice]])</f>
        <v>LES VERGERS DE BLUE WHALE UNION DE COOPERATIVES AGRICOLES - comptes 2017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168">
        <v>34125947</v>
      </c>
      <c r="BE34" s="168">
        <v>27595596</v>
      </c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168">
        <v>34799099</v>
      </c>
      <c r="BY34" s="168">
        <v>36920193</v>
      </c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168">
        <v>4764970</v>
      </c>
      <c r="EM34" s="168">
        <v>6219799</v>
      </c>
      <c r="EN34" s="21"/>
      <c r="EO34" s="21"/>
      <c r="EP34" s="168">
        <v>83370109</v>
      </c>
      <c r="EQ34" s="168">
        <v>78824408</v>
      </c>
      <c r="ER34" s="21"/>
      <c r="ES34" s="21"/>
      <c r="ET34" s="168">
        <v>88125079</v>
      </c>
      <c r="EU34" s="168">
        <v>85044207</v>
      </c>
      <c r="EV34" s="21"/>
      <c r="EW34" s="21"/>
      <c r="EX34" s="21"/>
      <c r="EY34" s="21"/>
      <c r="EZ34" s="21"/>
      <c r="FA34" s="21"/>
      <c r="FB34" s="168">
        <v>540799</v>
      </c>
      <c r="FC34" s="21"/>
      <c r="FD34" s="21"/>
      <c r="FE34" s="21"/>
      <c r="FF34" s="168">
        <v>575447</v>
      </c>
      <c r="FG34" s="168">
        <v>395236</v>
      </c>
      <c r="FH34" s="21"/>
      <c r="FI34" s="168">
        <v>-45988</v>
      </c>
      <c r="FJ34" s="168">
        <v>523747</v>
      </c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168">
        <v>-1376171</v>
      </c>
      <c r="FX34" s="168">
        <v>-868880</v>
      </c>
      <c r="FY34" s="168">
        <v>1009650</v>
      </c>
      <c r="FZ34" s="168">
        <v>577526</v>
      </c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168">
        <v>1765832</v>
      </c>
      <c r="GN34" s="168">
        <v>251303</v>
      </c>
      <c r="GO34" s="168">
        <v>1768872</v>
      </c>
      <c r="GP34" s="168">
        <v>251303</v>
      </c>
      <c r="GQ34" s="168">
        <v>6960</v>
      </c>
      <c r="GR34" s="21"/>
      <c r="GS34" s="168">
        <v>766182</v>
      </c>
      <c r="GT34" s="168">
        <v>-326223</v>
      </c>
      <c r="GU34" s="168">
        <v>-1180178</v>
      </c>
      <c r="GV34" s="168">
        <v>-1544785</v>
      </c>
      <c r="GW34" s="168">
        <v>1134190</v>
      </c>
      <c r="GX34" s="168">
        <v>2068532</v>
      </c>
      <c r="GY34" s="21"/>
      <c r="GZ34" s="21"/>
      <c r="HA34" s="21"/>
      <c r="HB34" s="21"/>
      <c r="HC34" s="168">
        <v>14282485</v>
      </c>
      <c r="HD34" s="168">
        <v>14047834</v>
      </c>
      <c r="HE34" s="21"/>
      <c r="HF34" s="21"/>
      <c r="HG34" s="21"/>
      <c r="HH34" s="21"/>
      <c r="HI34" s="168">
        <v>1374974</v>
      </c>
      <c r="HJ34" s="168">
        <v>1207405</v>
      </c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168">
        <v>636457</v>
      </c>
      <c r="IF34" s="168">
        <v>769816</v>
      </c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  <c r="IU34" s="168">
        <v>3181032</v>
      </c>
      <c r="IV34" s="168">
        <v>596436</v>
      </c>
      <c r="IW34" s="168">
        <v>1940104</v>
      </c>
      <c r="IX34" s="168">
        <v>1374220</v>
      </c>
      <c r="IY34" s="168">
        <v>1240928</v>
      </c>
      <c r="IZ34" s="168">
        <v>-777784</v>
      </c>
      <c r="JA34" s="21"/>
      <c r="JB34" s="21"/>
      <c r="JC34" s="21"/>
      <c r="JD34" s="21"/>
      <c r="JE34" s="168">
        <v>8209498</v>
      </c>
      <c r="JF34" s="168">
        <v>9073910</v>
      </c>
      <c r="JG34" s="21"/>
      <c r="JH34" s="21"/>
      <c r="JI34" s="168">
        <v>289729141</v>
      </c>
      <c r="JJ34" s="168">
        <v>290108303</v>
      </c>
      <c r="JK34" s="168">
        <v>-1966004</v>
      </c>
      <c r="JL34" s="168">
        <v>-4729359</v>
      </c>
      <c r="JM34" s="168">
        <v>291669244</v>
      </c>
      <c r="JN34" s="168">
        <v>291482522</v>
      </c>
      <c r="JO34" s="168">
        <v>3206932</v>
      </c>
      <c r="JP34" s="168">
        <v>3951575</v>
      </c>
      <c r="JQ34" s="21"/>
      <c r="JR34" s="21"/>
      <c r="JS34" s="21"/>
      <c r="JT34" s="21"/>
      <c r="JU34" s="21"/>
      <c r="JV34" s="21"/>
      <c r="JW34" s="168">
        <v>290294270</v>
      </c>
      <c r="JX34" s="168">
        <v>290275118</v>
      </c>
      <c r="JY34" s="21"/>
      <c r="JZ34" s="21"/>
      <c r="KA34" s="21"/>
      <c r="KB34" s="21"/>
      <c r="KC34" s="21"/>
      <c r="KD34" s="21"/>
      <c r="KE34" s="21"/>
      <c r="KF34" s="21"/>
      <c r="KG34" s="21"/>
      <c r="KH34" s="21"/>
      <c r="KI34" s="21"/>
      <c r="KJ34" s="21"/>
      <c r="KK34" s="21"/>
      <c r="KL34" s="21"/>
      <c r="KM34" s="21"/>
      <c r="KN34" s="21"/>
      <c r="KO34" s="21"/>
      <c r="KP34" s="21"/>
      <c r="KQ34" s="21"/>
      <c r="KR34" s="21"/>
      <c r="KS34" s="21"/>
      <c r="KT34" s="21"/>
      <c r="KU34" s="21"/>
      <c r="KV34" s="21"/>
      <c r="KW34" s="21"/>
      <c r="KX34" s="21"/>
      <c r="KY34" s="21"/>
      <c r="KZ34" s="21"/>
      <c r="LA34" s="168">
        <v>2456432</v>
      </c>
      <c r="LB34" s="168">
        <v>2340832</v>
      </c>
      <c r="LC34" s="21"/>
      <c r="LD34" s="21"/>
      <c r="LE34" s="21"/>
      <c r="LF34" s="21"/>
      <c r="LG34" s="21"/>
      <c r="LH34" s="21"/>
      <c r="LI34" s="21"/>
      <c r="LJ34" s="21"/>
      <c r="LK34" s="168">
        <v>44153492</v>
      </c>
      <c r="LL34" s="168">
        <v>44974794</v>
      </c>
      <c r="LM34" s="21"/>
      <c r="LN34" s="21"/>
      <c r="LO34" s="21"/>
      <c r="LP34" s="21"/>
      <c r="LQ34" s="21"/>
      <c r="LR34" s="21"/>
      <c r="LS34" s="21"/>
      <c r="LT34" s="21"/>
      <c r="LU34" s="21"/>
      <c r="LV34" s="21"/>
      <c r="LW34" s="21"/>
      <c r="LX34" s="21"/>
      <c r="LY34" s="168">
        <v>459467</v>
      </c>
      <c r="LZ34" s="168">
        <v>459467</v>
      </c>
      <c r="MA34" s="21"/>
      <c r="MB34" s="21"/>
      <c r="MC34" s="168">
        <v>5722510</v>
      </c>
      <c r="MD34" s="168">
        <v>6238028</v>
      </c>
      <c r="ME34" s="21"/>
      <c r="MF34" s="21"/>
      <c r="MG34" s="168">
        <v>67</v>
      </c>
      <c r="MH34" s="168">
        <v>14797</v>
      </c>
      <c r="MI34" s="21"/>
      <c r="MJ34" s="21"/>
      <c r="MK34" s="21"/>
      <c r="ML34" s="21"/>
      <c r="MM34" s="21"/>
      <c r="MN34" s="21"/>
      <c r="MO34" s="21"/>
      <c r="MP34" s="21"/>
      <c r="MQ34" s="21"/>
      <c r="MR34" s="21"/>
      <c r="MS34" s="21"/>
      <c r="MT34" s="21"/>
      <c r="MU34" s="21"/>
      <c r="MV34" s="21"/>
      <c r="MW34" s="21"/>
      <c r="MX34" s="21"/>
      <c r="MY34" s="21"/>
      <c r="MZ34" s="21"/>
      <c r="NA34" s="21"/>
      <c r="NB34" s="21"/>
      <c r="NC34" s="168">
        <v>756182</v>
      </c>
      <c r="ND34" s="168">
        <v>-326223</v>
      </c>
      <c r="NE34" s="21"/>
      <c r="NF34" s="21"/>
      <c r="NG34" s="168">
        <v>18855052</v>
      </c>
      <c r="NH34" s="168">
        <v>17957368</v>
      </c>
      <c r="NI34" s="21"/>
      <c r="NJ34" s="21"/>
      <c r="NK34" s="168">
        <v>9058705</v>
      </c>
      <c r="NL34" s="168">
        <v>7957586</v>
      </c>
      <c r="NM34" s="168">
        <v>59039857</v>
      </c>
      <c r="NN34" s="168">
        <v>57866380</v>
      </c>
      <c r="NO34" s="168">
        <v>88125079</v>
      </c>
      <c r="NP34" s="168">
        <v>85044207</v>
      </c>
      <c r="NQ34" s="168" t="s">
        <v>1265</v>
      </c>
      <c r="NR34" s="168" t="s">
        <v>811</v>
      </c>
      <c r="NS34" s="168" t="s">
        <v>770</v>
      </c>
      <c r="NT34" s="168" t="s">
        <v>771</v>
      </c>
      <c r="NU34" s="168">
        <v>8201</v>
      </c>
      <c r="NV34" s="168" t="s">
        <v>2104</v>
      </c>
      <c r="NW34" s="168" t="s">
        <v>28</v>
      </c>
      <c r="NX34" s="168" t="s">
        <v>25</v>
      </c>
      <c r="NY34" s="169">
        <v>42916</v>
      </c>
      <c r="NZ34" s="169">
        <v>42551</v>
      </c>
      <c r="OA34" s="169">
        <v>43108</v>
      </c>
      <c r="OB34" s="168" t="s">
        <v>1388</v>
      </c>
      <c r="OC34" s="168">
        <v>12</v>
      </c>
      <c r="OD34" s="168" t="s">
        <v>2106</v>
      </c>
      <c r="OE34" s="168" t="s">
        <v>2109</v>
      </c>
      <c r="OF34" s="168" t="s">
        <v>2510</v>
      </c>
      <c r="OG34" s="168" t="s">
        <v>1999</v>
      </c>
      <c r="OH34" s="168" t="s">
        <v>937</v>
      </c>
      <c r="OI34" s="168" t="s">
        <v>766</v>
      </c>
      <c r="OJ34" s="168" t="s">
        <v>3240</v>
      </c>
      <c r="OK34" s="168" t="s">
        <v>809</v>
      </c>
    </row>
    <row r="35" spans="1:401" x14ac:dyDescent="0.2">
      <c r="A35" s="170" t="str">
        <f>Liste[[#This Row],[Siren]]</f>
        <v>403244130</v>
      </c>
      <c r="B35" s="198" t="str">
        <f>Liste[[#This Row],[Dénomination]]&amp;" - comptes "&amp;YEAR(Liste[[#This Row],[Date de cloture de l''exercice]])</f>
        <v>ADP EUROPE - comptes 2017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168">
        <v>1741000000</v>
      </c>
      <c r="CF35" s="168">
        <v>1682000000</v>
      </c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168">
        <v>779900000</v>
      </c>
      <c r="EM35" s="168">
        <v>685000000</v>
      </c>
      <c r="EN35" s="21"/>
      <c r="EO35" s="21"/>
      <c r="EP35" s="168">
        <v>32658700000</v>
      </c>
      <c r="EQ35" s="168">
        <v>39500400000</v>
      </c>
      <c r="ER35" s="21"/>
      <c r="ES35" s="21"/>
      <c r="ET35" s="168">
        <v>37180000000</v>
      </c>
      <c r="EU35" s="168">
        <v>43670000000</v>
      </c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168">
        <v>1733400000</v>
      </c>
      <c r="GT35" s="168">
        <v>1492500000</v>
      </c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168">
        <v>-284300000</v>
      </c>
      <c r="HJ35" s="168">
        <v>-100400000</v>
      </c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  <c r="IU35" s="21"/>
      <c r="IV35" s="21"/>
      <c r="IW35" s="21"/>
      <c r="IX35" s="21"/>
      <c r="IY35" s="21"/>
      <c r="IZ35" s="21"/>
      <c r="JA35" s="21"/>
      <c r="JB35" s="21"/>
      <c r="JC35" s="21"/>
      <c r="JD35" s="21"/>
      <c r="JE35" s="21"/>
      <c r="JF35" s="21"/>
      <c r="JG35" s="21"/>
      <c r="JH35" s="21"/>
      <c r="JI35" s="168">
        <v>6416100000</v>
      </c>
      <c r="JJ35" s="168">
        <v>6025000000</v>
      </c>
      <c r="JK35" s="21"/>
      <c r="JL35" s="21"/>
      <c r="JM35" s="168">
        <v>12379800000</v>
      </c>
      <c r="JN35" s="168">
        <v>11667800000</v>
      </c>
      <c r="JO35" s="21"/>
      <c r="JP35" s="21"/>
      <c r="JQ35" s="21"/>
      <c r="JR35" s="21"/>
      <c r="JS35" s="21"/>
      <c r="JT35" s="21"/>
      <c r="JU35" s="21"/>
      <c r="JV35" s="21"/>
      <c r="JW35" s="21"/>
      <c r="JX35" s="21"/>
      <c r="JY35" s="21"/>
      <c r="JZ35" s="21"/>
      <c r="KA35" s="21"/>
      <c r="KB35" s="21"/>
      <c r="KC35" s="21"/>
      <c r="KD35" s="21"/>
      <c r="KE35" s="21"/>
      <c r="KF35" s="21"/>
      <c r="KG35" s="21"/>
      <c r="KH35" s="21"/>
      <c r="KI35" s="21"/>
      <c r="KJ35" s="21"/>
      <c r="KK35" s="21"/>
      <c r="KL35" s="21"/>
      <c r="KM35" s="21"/>
      <c r="KN35" s="21"/>
      <c r="KO35" s="21"/>
      <c r="KP35" s="21"/>
      <c r="KQ35" s="21"/>
      <c r="KR35" s="21"/>
      <c r="KS35" s="21"/>
      <c r="KT35" s="21"/>
      <c r="KU35" s="21"/>
      <c r="KV35" s="21"/>
      <c r="KW35" s="21"/>
      <c r="KX35" s="21"/>
      <c r="KY35" s="21"/>
      <c r="KZ35" s="21"/>
      <c r="LA35" s="21"/>
      <c r="LB35" s="21"/>
      <c r="LC35" s="21"/>
      <c r="LD35" s="21"/>
      <c r="LE35" s="21"/>
      <c r="LF35" s="21"/>
      <c r="LG35" s="21"/>
      <c r="LH35" s="21"/>
      <c r="LI35" s="21"/>
      <c r="LJ35" s="21"/>
      <c r="LK35" s="168">
        <v>149000000</v>
      </c>
      <c r="LL35" s="168">
        <v>152000000</v>
      </c>
      <c r="LM35" s="21"/>
      <c r="LN35" s="21"/>
      <c r="LO35" s="21"/>
      <c r="LP35" s="21"/>
      <c r="LQ35" s="21"/>
      <c r="LR35" s="21"/>
      <c r="LS35" s="21"/>
      <c r="LT35" s="21"/>
      <c r="LU35" s="21"/>
      <c r="LV35" s="21"/>
      <c r="LW35" s="21"/>
      <c r="LX35" s="21"/>
      <c r="LY35" s="21"/>
      <c r="LZ35" s="21"/>
      <c r="MA35" s="21"/>
      <c r="MB35" s="21"/>
      <c r="MC35" s="21"/>
      <c r="MD35" s="21"/>
      <c r="ME35" s="21"/>
      <c r="MF35" s="21"/>
      <c r="MG35" s="21"/>
      <c r="MH35" s="21"/>
      <c r="MI35" s="21"/>
      <c r="MJ35" s="21"/>
      <c r="MK35" s="21"/>
      <c r="ML35" s="21"/>
      <c r="MM35" s="21"/>
      <c r="MN35" s="21"/>
      <c r="MO35" s="21"/>
      <c r="MP35" s="21"/>
      <c r="MQ35" s="21"/>
      <c r="MR35" s="21"/>
      <c r="MS35" s="21"/>
      <c r="MT35" s="21"/>
      <c r="MU35" s="21"/>
      <c r="MV35" s="21"/>
      <c r="MW35" s="21"/>
      <c r="MX35" s="21"/>
      <c r="MY35" s="21"/>
      <c r="MZ35" s="21"/>
      <c r="NA35" s="21"/>
      <c r="NB35" s="21"/>
      <c r="NC35" s="21"/>
      <c r="ND35" s="21"/>
      <c r="NE35" s="21"/>
      <c r="NF35" s="21"/>
      <c r="NG35" s="21"/>
      <c r="NH35" s="21"/>
      <c r="NI35" s="21"/>
      <c r="NJ35" s="21"/>
      <c r="NK35" s="21"/>
      <c r="NL35" s="21"/>
      <c r="NM35" s="21"/>
      <c r="NN35" s="21"/>
      <c r="NO35" s="168">
        <v>37180000000</v>
      </c>
      <c r="NP35" s="168">
        <v>43670000000</v>
      </c>
      <c r="NQ35" s="168" t="s">
        <v>894</v>
      </c>
      <c r="NR35" s="168" t="s">
        <v>872</v>
      </c>
      <c r="NS35" s="168" t="s">
        <v>770</v>
      </c>
      <c r="NT35" s="168" t="s">
        <v>771</v>
      </c>
      <c r="NU35" s="168">
        <v>9201</v>
      </c>
      <c r="NV35" s="168" t="s">
        <v>2104</v>
      </c>
      <c r="NW35" s="168" t="s">
        <v>28</v>
      </c>
      <c r="NX35" s="168" t="s">
        <v>25</v>
      </c>
      <c r="NY35" s="169">
        <v>42916</v>
      </c>
      <c r="NZ35" s="169">
        <v>42551</v>
      </c>
      <c r="OA35" s="169">
        <v>43118</v>
      </c>
      <c r="OB35" s="168" t="s">
        <v>3288</v>
      </c>
      <c r="OC35" s="168">
        <v>12</v>
      </c>
      <c r="OD35" s="168" t="s">
        <v>2105</v>
      </c>
      <c r="OE35" s="168" t="s">
        <v>2456</v>
      </c>
      <c r="OF35" s="168" t="s">
        <v>3289</v>
      </c>
      <c r="OG35" s="168" t="s">
        <v>3290</v>
      </c>
      <c r="OH35" s="168" t="s">
        <v>777</v>
      </c>
      <c r="OI35" s="168" t="s">
        <v>766</v>
      </c>
      <c r="OJ35" s="168" t="s">
        <v>3240</v>
      </c>
      <c r="OK35" s="168" t="s">
        <v>871</v>
      </c>
    </row>
    <row r="36" spans="1:401" x14ac:dyDescent="0.2">
      <c r="A36" s="170" t="str">
        <f>Liste[[#This Row],[Siren]]</f>
        <v>404115198</v>
      </c>
      <c r="B36" s="198" t="str">
        <f>Liste[[#This Row],[Dénomination]]&amp;" - comptes "&amp;YEAR(Liste[[#This Row],[Date de cloture de l''exercice]])</f>
        <v>SASP OLYMPIQUE GYMNASTE CLUB DE NICE COTE D'AZUR - comptes 2017</v>
      </c>
      <c r="C36" s="21"/>
      <c r="D36" s="21"/>
      <c r="E36" s="21"/>
      <c r="F36" s="168">
        <v>18319600</v>
      </c>
      <c r="G36" s="168">
        <v>18568323</v>
      </c>
      <c r="H36" s="168">
        <v>18319600</v>
      </c>
      <c r="I36" s="168">
        <v>1206284</v>
      </c>
      <c r="J36" s="168">
        <v>307409</v>
      </c>
      <c r="K36" s="168">
        <v>401301</v>
      </c>
      <c r="L36" s="168">
        <v>1513693</v>
      </c>
      <c r="M36" s="21"/>
      <c r="N36" s="21"/>
      <c r="O36" s="21"/>
      <c r="P36" s="21"/>
      <c r="Q36" s="168">
        <v>7861264</v>
      </c>
      <c r="R36" s="168">
        <v>12020043</v>
      </c>
      <c r="S36" s="168">
        <v>5205848</v>
      </c>
      <c r="T36" s="168">
        <v>19881307</v>
      </c>
      <c r="U36" s="21"/>
      <c r="V36" s="21"/>
      <c r="W36" s="21"/>
      <c r="X36" s="21"/>
      <c r="Y36" s="21"/>
      <c r="Z36" s="21"/>
      <c r="AA36" s="21"/>
      <c r="AB36" s="21"/>
      <c r="AC36" s="21"/>
      <c r="AD36" s="168">
        <v>11930361</v>
      </c>
      <c r="AE36" s="168">
        <v>2956820</v>
      </c>
      <c r="AF36" s="168">
        <v>11930361</v>
      </c>
      <c r="AG36" s="21"/>
      <c r="AH36" s="21"/>
      <c r="AI36" s="21"/>
      <c r="AJ36" s="21"/>
      <c r="AK36" s="21"/>
      <c r="AL36" s="168">
        <v>147287</v>
      </c>
      <c r="AM36" s="168">
        <v>23122</v>
      </c>
      <c r="AN36" s="168">
        <v>147287</v>
      </c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168">
        <v>1427025</v>
      </c>
      <c r="BA36" s="168">
        <v>433636</v>
      </c>
      <c r="BB36" s="168">
        <v>1427025</v>
      </c>
      <c r="BC36" s="168">
        <v>803</v>
      </c>
      <c r="BD36" s="168">
        <v>3678416</v>
      </c>
      <c r="BE36" s="168">
        <v>3539929</v>
      </c>
      <c r="BF36" s="168">
        <v>3679219</v>
      </c>
      <c r="BG36" s="168">
        <v>93592</v>
      </c>
      <c r="BH36" s="168">
        <v>41283</v>
      </c>
      <c r="BI36" s="168">
        <v>65623</v>
      </c>
      <c r="BJ36" s="168">
        <v>134874</v>
      </c>
      <c r="BK36" s="168">
        <v>17940</v>
      </c>
      <c r="BL36" s="21"/>
      <c r="BM36" s="21"/>
      <c r="BN36" s="168">
        <v>17940</v>
      </c>
      <c r="BO36" s="21"/>
      <c r="BP36" s="21"/>
      <c r="BQ36" s="21"/>
      <c r="BR36" s="21"/>
      <c r="BS36" s="21"/>
      <c r="BT36" s="21"/>
      <c r="BU36" s="21"/>
      <c r="BV36" s="21"/>
      <c r="BW36" s="21"/>
      <c r="BX36" s="168">
        <v>24472471</v>
      </c>
      <c r="BY36" s="168">
        <v>16407062</v>
      </c>
      <c r="BZ36" s="168">
        <v>24472471</v>
      </c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168">
        <v>467904</v>
      </c>
      <c r="DG36" s="168">
        <v>161121</v>
      </c>
      <c r="DH36" s="168">
        <v>154664</v>
      </c>
      <c r="DI36" s="168">
        <v>629025</v>
      </c>
      <c r="DJ36" s="21"/>
      <c r="DK36" s="168">
        <v>200367</v>
      </c>
      <c r="DL36" s="168">
        <v>281167</v>
      </c>
      <c r="DM36" s="168">
        <v>200367</v>
      </c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168">
        <v>9646983</v>
      </c>
      <c r="EL36" s="168">
        <v>25107146</v>
      </c>
      <c r="EM36" s="168">
        <v>9426956</v>
      </c>
      <c r="EN36" s="168">
        <v>34754130</v>
      </c>
      <c r="EO36" s="168">
        <v>803</v>
      </c>
      <c r="EP36" s="168">
        <v>48324667</v>
      </c>
      <c r="EQ36" s="168">
        <v>39332742</v>
      </c>
      <c r="ER36" s="168">
        <v>48325471</v>
      </c>
      <c r="ES36" s="168">
        <v>9647787</v>
      </c>
      <c r="ET36" s="168">
        <v>73431813</v>
      </c>
      <c r="EU36" s="168">
        <v>48759698</v>
      </c>
      <c r="EV36" s="168">
        <v>83079600</v>
      </c>
      <c r="EW36" s="21"/>
      <c r="EX36" s="21"/>
      <c r="EY36" s="21"/>
      <c r="EZ36" s="21"/>
      <c r="FA36" s="21"/>
      <c r="FB36" s="21"/>
      <c r="FC36" s="21"/>
      <c r="FD36" s="21"/>
      <c r="FE36" s="21"/>
      <c r="FF36" s="168">
        <v>79502</v>
      </c>
      <c r="FG36" s="168">
        <v>79502</v>
      </c>
      <c r="FH36" s="168">
        <v>79502</v>
      </c>
      <c r="FI36" s="168">
        <v>11305163</v>
      </c>
      <c r="FJ36" s="168">
        <v>14574534</v>
      </c>
      <c r="FK36" s="21"/>
      <c r="FL36" s="21"/>
      <c r="FM36" s="168">
        <v>4377854</v>
      </c>
      <c r="FN36" s="168">
        <v>1126639</v>
      </c>
      <c r="FO36" s="168">
        <v>106847</v>
      </c>
      <c r="FP36" s="168">
        <v>390476</v>
      </c>
      <c r="FQ36" s="21"/>
      <c r="FR36" s="21"/>
      <c r="FS36" s="168">
        <v>401477</v>
      </c>
      <c r="FT36" s="168">
        <v>283509</v>
      </c>
      <c r="FU36" s="168">
        <v>690333</v>
      </c>
      <c r="FV36" s="168">
        <v>1273302</v>
      </c>
      <c r="FW36" s="168">
        <v>41292</v>
      </c>
      <c r="FX36" s="168">
        <v>1231064</v>
      </c>
      <c r="FY36" s="21"/>
      <c r="FZ36" s="21"/>
      <c r="GA36" s="21"/>
      <c r="GB36" s="168">
        <v>971717</v>
      </c>
      <c r="GC36" s="168">
        <v>89656</v>
      </c>
      <c r="GD36" s="168">
        <v>2718303</v>
      </c>
      <c r="GE36" s="168">
        <v>16065175</v>
      </c>
      <c r="GF36" s="168">
        <v>13603000</v>
      </c>
      <c r="GG36" s="21"/>
      <c r="GH36" s="21"/>
      <c r="GI36" s="21"/>
      <c r="GJ36" s="21"/>
      <c r="GK36" s="168">
        <v>36510</v>
      </c>
      <c r="GL36" s="168">
        <v>53855</v>
      </c>
      <c r="GM36" s="168">
        <v>1092807</v>
      </c>
      <c r="GN36" s="168">
        <v>4877823</v>
      </c>
      <c r="GO36" s="168">
        <v>1092807</v>
      </c>
      <c r="GP36" s="168">
        <v>4877823</v>
      </c>
      <c r="GQ36" s="21"/>
      <c r="GR36" s="21"/>
      <c r="GS36" s="168">
        <v>1092807</v>
      </c>
      <c r="GT36" s="168">
        <v>4877823</v>
      </c>
      <c r="GU36" s="168">
        <v>4886178</v>
      </c>
      <c r="GV36" s="168">
        <v>1800623</v>
      </c>
      <c r="GW36" s="168">
        <v>16191341</v>
      </c>
      <c r="GX36" s="168">
        <v>16375158</v>
      </c>
      <c r="GY36" s="168">
        <v>960127</v>
      </c>
      <c r="GZ36" s="168">
        <v>741120</v>
      </c>
      <c r="HA36" s="21"/>
      <c r="HB36" s="21"/>
      <c r="HC36" s="168">
        <v>16947579</v>
      </c>
      <c r="HD36" s="168">
        <v>14263792</v>
      </c>
      <c r="HE36" s="168">
        <v>2385358</v>
      </c>
      <c r="HF36" s="168">
        <v>306292</v>
      </c>
      <c r="HG36" s="168">
        <v>1982</v>
      </c>
      <c r="HH36" s="168">
        <v>2235</v>
      </c>
      <c r="HI36" s="168">
        <v>13987608</v>
      </c>
      <c r="HJ36" s="168">
        <v>3473688</v>
      </c>
      <c r="HK36" s="21"/>
      <c r="HL36" s="21"/>
      <c r="HM36" s="21"/>
      <c r="HN36" s="21"/>
      <c r="HO36" s="168">
        <v>11264142</v>
      </c>
      <c r="HP36" s="168">
        <v>7462969</v>
      </c>
      <c r="HQ36" s="21"/>
      <c r="HR36" s="21"/>
      <c r="HS36" s="21"/>
      <c r="HT36" s="21"/>
      <c r="HU36" s="168">
        <v>5167611</v>
      </c>
      <c r="HV36" s="168">
        <v>3046470</v>
      </c>
      <c r="HW36" s="21"/>
      <c r="HX36" s="21"/>
      <c r="HY36" s="21"/>
      <c r="HZ36" s="21"/>
      <c r="IA36" s="21"/>
      <c r="IB36" s="21"/>
      <c r="IC36" s="21"/>
      <c r="ID36" s="21"/>
      <c r="IE36" s="168">
        <v>2355811</v>
      </c>
      <c r="IF36" s="168">
        <v>1530635</v>
      </c>
      <c r="IG36" s="168">
        <v>554340</v>
      </c>
      <c r="IH36" s="168">
        <v>139256</v>
      </c>
      <c r="II36" s="21"/>
      <c r="IJ36" s="21"/>
      <c r="IK36" s="21"/>
      <c r="IL36" s="21"/>
      <c r="IM36" s="21"/>
      <c r="IN36" s="21"/>
      <c r="IO36" s="21"/>
      <c r="IP36" s="21"/>
      <c r="IQ36" s="168">
        <v>1874</v>
      </c>
      <c r="IR36" s="168">
        <v>2084</v>
      </c>
      <c r="IS36" s="21"/>
      <c r="IT36" s="21"/>
      <c r="IU36" s="168">
        <v>-9480731</v>
      </c>
      <c r="IV36" s="168">
        <v>-6220628</v>
      </c>
      <c r="IW36" s="168">
        <v>-8930247</v>
      </c>
      <c r="IX36" s="168">
        <v>-6085692</v>
      </c>
      <c r="IY36" s="168">
        <v>-550485</v>
      </c>
      <c r="IZ36" s="168">
        <v>-134936</v>
      </c>
      <c r="JA36" s="21"/>
      <c r="JB36" s="168">
        <v>-5000</v>
      </c>
      <c r="JC36" s="21"/>
      <c r="JD36" s="21"/>
      <c r="JE36" s="168">
        <v>38640524</v>
      </c>
      <c r="JF36" s="168">
        <v>23241747</v>
      </c>
      <c r="JG36" s="168">
        <v>2003676</v>
      </c>
      <c r="JH36" s="168">
        <v>1461289</v>
      </c>
      <c r="JI36" s="168">
        <v>77824077</v>
      </c>
      <c r="JJ36" s="168">
        <v>50468719</v>
      </c>
      <c r="JK36" s="168">
        <v>554340</v>
      </c>
      <c r="JL36" s="168">
        <v>139256</v>
      </c>
      <c r="JM36" s="168">
        <v>68893830</v>
      </c>
      <c r="JN36" s="168">
        <v>44383027</v>
      </c>
      <c r="JO36" s="168">
        <v>3855</v>
      </c>
      <c r="JP36" s="168">
        <v>4319</v>
      </c>
      <c r="JQ36" s="168">
        <v>102927</v>
      </c>
      <c r="JR36" s="168">
        <v>-124306</v>
      </c>
      <c r="JS36" s="21"/>
      <c r="JT36" s="21"/>
      <c r="JU36" s="21"/>
      <c r="JV36" s="21"/>
      <c r="JW36" s="168">
        <v>52902547</v>
      </c>
      <c r="JX36" s="168">
        <v>39453049</v>
      </c>
      <c r="JY36" s="21"/>
      <c r="JZ36" s="21"/>
      <c r="KA36" s="21"/>
      <c r="KB36" s="21"/>
      <c r="KC36" s="21"/>
      <c r="KD36" s="21"/>
      <c r="KE36" s="168">
        <v>50864698</v>
      </c>
      <c r="KF36" s="168">
        <v>37365620</v>
      </c>
      <c r="KG36" s="21"/>
      <c r="KH36" s="21"/>
      <c r="KI36" s="168">
        <v>2037848</v>
      </c>
      <c r="KJ36" s="168">
        <v>2087430</v>
      </c>
      <c r="KK36" s="21"/>
      <c r="KL36" s="21"/>
      <c r="KM36" s="21"/>
      <c r="KN36" s="21"/>
      <c r="KO36" s="21"/>
      <c r="KP36" s="21"/>
      <c r="KQ36" s="168">
        <v>5083913</v>
      </c>
      <c r="KR36" s="168">
        <v>1745081</v>
      </c>
      <c r="KS36" s="21"/>
      <c r="KT36" s="21"/>
      <c r="KU36" s="21"/>
      <c r="KV36" s="21"/>
      <c r="KW36" s="21"/>
      <c r="KX36" s="21"/>
      <c r="KY36" s="168">
        <v>1828</v>
      </c>
      <c r="KZ36" s="168">
        <v>1828</v>
      </c>
      <c r="LA36" s="168">
        <v>2823175</v>
      </c>
      <c r="LB36" s="168">
        <v>2823174</v>
      </c>
      <c r="LC36" s="21"/>
      <c r="LD36" s="21"/>
      <c r="LE36" s="21"/>
      <c r="LF36" s="21"/>
      <c r="LG36" s="21"/>
      <c r="LH36" s="21"/>
      <c r="LI36" s="168">
        <v>16009953</v>
      </c>
      <c r="LJ36" s="168">
        <v>13615439</v>
      </c>
      <c r="LK36" s="168">
        <v>5616476</v>
      </c>
      <c r="LL36" s="168">
        <v>9417836</v>
      </c>
      <c r="LM36" s="168">
        <v>1030121</v>
      </c>
      <c r="LN36" s="21"/>
      <c r="LO36" s="168">
        <v>6639</v>
      </c>
      <c r="LP36" s="168">
        <v>3909</v>
      </c>
      <c r="LQ36" s="21"/>
      <c r="LR36" s="21"/>
      <c r="LS36" s="21"/>
      <c r="LT36" s="21"/>
      <c r="LU36" s="21"/>
      <c r="LV36" s="21"/>
      <c r="LW36" s="21"/>
      <c r="LX36" s="21"/>
      <c r="LY36" s="21"/>
      <c r="LZ36" s="21"/>
      <c r="MA36" s="168">
        <v>6537391</v>
      </c>
      <c r="MB36" s="168">
        <v>3909</v>
      </c>
      <c r="MC36" s="168">
        <v>30529321</v>
      </c>
      <c r="MD36" s="168">
        <v>16130485</v>
      </c>
      <c r="ME36" s="21"/>
      <c r="MF36" s="21"/>
      <c r="MG36" s="21"/>
      <c r="MH36" s="21"/>
      <c r="MI36" s="21"/>
      <c r="MJ36" s="21"/>
      <c r="MK36" s="21"/>
      <c r="ML36" s="21"/>
      <c r="MM36" s="168">
        <v>1901691</v>
      </c>
      <c r="MN36" s="168">
        <v>2568420</v>
      </c>
      <c r="MO36" s="21"/>
      <c r="MP36" s="21"/>
      <c r="MQ36" s="168">
        <v>762160</v>
      </c>
      <c r="MR36" s="168">
        <v>431454</v>
      </c>
      <c r="MS36" s="21"/>
      <c r="MT36" s="21"/>
      <c r="MU36" s="168">
        <v>-5790947</v>
      </c>
      <c r="MV36" s="168">
        <v>-12037101</v>
      </c>
      <c r="MW36" s="21"/>
      <c r="MX36" s="21"/>
      <c r="MY36" s="21"/>
      <c r="MZ36" s="21"/>
      <c r="NA36" s="21"/>
      <c r="NB36" s="21"/>
      <c r="NC36" s="168">
        <v>1092807</v>
      </c>
      <c r="ND36" s="168">
        <v>4877822</v>
      </c>
      <c r="NE36" s="21"/>
      <c r="NF36" s="21"/>
      <c r="NG36" s="168">
        <v>5958959</v>
      </c>
      <c r="NH36" s="168">
        <v>4845246</v>
      </c>
      <c r="NI36" s="21"/>
      <c r="NJ36" s="21"/>
      <c r="NK36" s="21"/>
      <c r="NL36" s="21"/>
      <c r="NM36" s="168">
        <v>66710694</v>
      </c>
      <c r="NN36" s="168">
        <v>43482997</v>
      </c>
      <c r="NO36" s="168">
        <v>73431813</v>
      </c>
      <c r="NP36" s="168">
        <v>48759698</v>
      </c>
      <c r="NQ36" s="168" t="s">
        <v>1163</v>
      </c>
      <c r="NR36" s="168" t="s">
        <v>1164</v>
      </c>
      <c r="NS36" s="168" t="s">
        <v>770</v>
      </c>
      <c r="NT36" s="168" t="s">
        <v>771</v>
      </c>
      <c r="NU36" s="168">
        <v>605</v>
      </c>
      <c r="NV36" s="168" t="s">
        <v>2104</v>
      </c>
      <c r="NW36" s="168" t="s">
        <v>28</v>
      </c>
      <c r="NX36" s="168" t="s">
        <v>25</v>
      </c>
      <c r="NY36" s="169">
        <v>42916</v>
      </c>
      <c r="NZ36" s="169">
        <v>42551</v>
      </c>
      <c r="OA36" s="169">
        <v>43130</v>
      </c>
      <c r="OB36" s="168" t="s">
        <v>1165</v>
      </c>
      <c r="OC36" s="168">
        <v>12</v>
      </c>
      <c r="OD36" s="168" t="s">
        <v>2105</v>
      </c>
      <c r="OE36" s="168" t="s">
        <v>2179</v>
      </c>
      <c r="OF36" s="168" t="s">
        <v>2342</v>
      </c>
      <c r="OG36" s="168" t="s">
        <v>1908</v>
      </c>
      <c r="OH36" s="168" t="s">
        <v>841</v>
      </c>
      <c r="OI36" s="168" t="s">
        <v>766</v>
      </c>
      <c r="OJ36" s="168" t="s">
        <v>3240</v>
      </c>
      <c r="OK36" s="168" t="s">
        <v>1162</v>
      </c>
    </row>
    <row r="37" spans="1:401" x14ac:dyDescent="0.2">
      <c r="A37" s="170" t="str">
        <f>Liste[[#This Row],[Siren]]</f>
        <v>528424963</v>
      </c>
      <c r="B37" s="198" t="str">
        <f>Liste[[#This Row],[Dénomination]]&amp;" - comptes "&amp;YEAR(Liste[[#This Row],[Date de cloture de l''exercice]])</f>
        <v>ALLIANDO - comptes 2017</v>
      </c>
      <c r="C37" s="21"/>
      <c r="D37" s="21"/>
      <c r="E37" s="21"/>
      <c r="F37" s="168">
        <v>11954000</v>
      </c>
      <c r="G37" s="168">
        <v>8270000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168">
        <v>29269000</v>
      </c>
      <c r="BE37" s="168">
        <v>23299000</v>
      </c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168">
        <v>7233000</v>
      </c>
      <c r="BY37" s="168">
        <v>4481000</v>
      </c>
      <c r="BZ37" s="21"/>
      <c r="CA37" s="21"/>
      <c r="CB37" s="21"/>
      <c r="CC37" s="21"/>
      <c r="CD37" s="21"/>
      <c r="CE37" s="168">
        <v>63701000</v>
      </c>
      <c r="CF37" s="168">
        <v>6891000</v>
      </c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168">
        <v>9259000</v>
      </c>
      <c r="EM37" s="168">
        <v>9670000</v>
      </c>
      <c r="EN37" s="21"/>
      <c r="EO37" s="21"/>
      <c r="EP37" s="168">
        <v>63514000</v>
      </c>
      <c r="EQ37" s="168">
        <v>54324000</v>
      </c>
      <c r="ER37" s="21"/>
      <c r="ES37" s="21"/>
      <c r="ET37" s="168">
        <v>72773000</v>
      </c>
      <c r="EU37" s="168">
        <v>63894000</v>
      </c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168">
        <v>-89</v>
      </c>
      <c r="FJ37" s="168">
        <v>66</v>
      </c>
      <c r="FK37" s="21"/>
      <c r="FL37" s="21"/>
      <c r="FM37" s="21"/>
      <c r="FN37" s="21"/>
      <c r="FO37" s="21"/>
      <c r="FP37" s="21"/>
      <c r="FQ37" s="168">
        <v>-1222</v>
      </c>
      <c r="FR37" s="168">
        <v>-1222</v>
      </c>
      <c r="FS37" s="21"/>
      <c r="FT37" s="21"/>
      <c r="FU37" s="21"/>
      <c r="FV37" s="21"/>
      <c r="FW37" s="168">
        <v>-4036</v>
      </c>
      <c r="FX37" s="168">
        <v>-2556</v>
      </c>
      <c r="FY37" s="168">
        <v>19731</v>
      </c>
      <c r="FZ37" s="168">
        <v>1167</v>
      </c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168">
        <v>6641</v>
      </c>
      <c r="GN37" s="168">
        <v>3678</v>
      </c>
      <c r="GO37" s="168">
        <v>7861</v>
      </c>
      <c r="GP37" s="168">
        <v>4900</v>
      </c>
      <c r="GQ37" s="168">
        <v>-98</v>
      </c>
      <c r="GR37" s="21"/>
      <c r="GS37" s="168">
        <v>4568</v>
      </c>
      <c r="GT37" s="168">
        <v>2511</v>
      </c>
      <c r="GU37" s="168">
        <v>501</v>
      </c>
      <c r="GV37" s="168">
        <v>150</v>
      </c>
      <c r="GW37" s="168">
        <v>411</v>
      </c>
      <c r="GX37" s="168">
        <v>215</v>
      </c>
      <c r="GY37" s="21"/>
      <c r="GZ37" s="21"/>
      <c r="HA37" s="21"/>
      <c r="HB37" s="21"/>
      <c r="HC37" s="168">
        <v>9571</v>
      </c>
      <c r="HD37" s="168">
        <v>9222</v>
      </c>
      <c r="HE37" s="21"/>
      <c r="HF37" s="21"/>
      <c r="HG37" s="21"/>
      <c r="HH37" s="21"/>
      <c r="HI37" s="168">
        <v>387</v>
      </c>
      <c r="HJ37" s="168">
        <v>600</v>
      </c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168">
        <v>742</v>
      </c>
      <c r="IF37" s="168">
        <v>669</v>
      </c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  <c r="IS37" s="21"/>
      <c r="IT37" s="21"/>
      <c r="IU37" s="168">
        <v>11986</v>
      </c>
      <c r="IV37" s="168">
        <v>7390</v>
      </c>
      <c r="IW37" s="168">
        <v>12078</v>
      </c>
      <c r="IX37" s="168">
        <v>7498</v>
      </c>
      <c r="IY37" s="168">
        <v>-92</v>
      </c>
      <c r="IZ37" s="168">
        <v>-108</v>
      </c>
      <c r="JA37" s="21"/>
      <c r="JB37" s="21"/>
      <c r="JC37" s="21"/>
      <c r="JD37" s="21"/>
      <c r="JE37" s="21"/>
      <c r="JF37" s="21"/>
      <c r="JG37" s="21"/>
      <c r="JH37" s="21"/>
      <c r="JI37" s="168">
        <v>191694</v>
      </c>
      <c r="JJ37" s="168">
        <v>166304</v>
      </c>
      <c r="JK37" s="168">
        <v>111</v>
      </c>
      <c r="JL37" s="168">
        <v>140</v>
      </c>
      <c r="JM37" s="168">
        <v>203672</v>
      </c>
      <c r="JN37" s="168">
        <v>173802</v>
      </c>
      <c r="JO37" s="168">
        <v>17</v>
      </c>
      <c r="JP37" s="168">
        <v>32</v>
      </c>
      <c r="JQ37" s="21"/>
      <c r="JR37" s="21"/>
      <c r="JS37" s="21"/>
      <c r="JT37" s="21"/>
      <c r="JU37" s="21"/>
      <c r="JV37" s="21"/>
      <c r="JW37" s="168">
        <v>203285</v>
      </c>
      <c r="JX37" s="168">
        <v>173202</v>
      </c>
      <c r="JY37" s="21"/>
      <c r="JZ37" s="21"/>
      <c r="KA37" s="21"/>
      <c r="KB37" s="21"/>
      <c r="KC37" s="21"/>
      <c r="KD37" s="21"/>
      <c r="KE37" s="21"/>
      <c r="KF37" s="21"/>
      <c r="KG37" s="21"/>
      <c r="KH37" s="21"/>
      <c r="KI37" s="21"/>
      <c r="KJ37" s="21"/>
      <c r="KK37" s="21"/>
      <c r="KL37" s="21"/>
      <c r="KM37" s="21"/>
      <c r="KN37" s="21"/>
      <c r="KO37" s="21"/>
      <c r="KP37" s="21"/>
      <c r="KQ37" s="21"/>
      <c r="KR37" s="21"/>
      <c r="KS37" s="21"/>
      <c r="KT37" s="21"/>
      <c r="KU37" s="21"/>
      <c r="KV37" s="21"/>
      <c r="KW37" s="21"/>
      <c r="KX37" s="21"/>
      <c r="KY37" s="21"/>
      <c r="KZ37" s="21"/>
      <c r="LA37" s="168">
        <v>27550</v>
      </c>
      <c r="LB37" s="168">
        <v>27550</v>
      </c>
      <c r="LC37" s="21"/>
      <c r="LD37" s="21"/>
      <c r="LE37" s="21"/>
      <c r="LF37" s="21"/>
      <c r="LG37" s="21"/>
      <c r="LH37" s="21"/>
      <c r="LI37" s="21"/>
      <c r="LJ37" s="21"/>
      <c r="LK37" s="168">
        <v>17622</v>
      </c>
      <c r="LL37" s="168">
        <v>16834</v>
      </c>
      <c r="LM37" s="21"/>
      <c r="LN37" s="21"/>
      <c r="LO37" s="21"/>
      <c r="LP37" s="21"/>
      <c r="LQ37" s="21"/>
      <c r="LR37" s="21"/>
      <c r="LS37" s="21"/>
      <c r="LT37" s="21"/>
      <c r="LU37" s="21"/>
      <c r="LV37" s="21"/>
      <c r="LW37" s="21"/>
      <c r="LX37" s="21"/>
      <c r="LY37" s="21"/>
      <c r="LZ37" s="21"/>
      <c r="MA37" s="21"/>
      <c r="MB37" s="21"/>
      <c r="MC37" s="168">
        <v>9587</v>
      </c>
      <c r="MD37" s="168">
        <v>10593</v>
      </c>
      <c r="ME37" s="21"/>
      <c r="MF37" s="21"/>
      <c r="MG37" s="21"/>
      <c r="MH37" s="21"/>
      <c r="MI37" s="21"/>
      <c r="MJ37" s="21"/>
      <c r="MK37" s="21"/>
      <c r="ML37" s="21"/>
      <c r="MM37" s="21"/>
      <c r="MN37" s="21"/>
      <c r="MO37" s="21"/>
      <c r="MP37" s="21"/>
      <c r="MQ37" s="21"/>
      <c r="MR37" s="21"/>
      <c r="MS37" s="21"/>
      <c r="MT37" s="21"/>
      <c r="MU37" s="21"/>
      <c r="MV37" s="21"/>
      <c r="MW37" s="21"/>
      <c r="MX37" s="21"/>
      <c r="MY37" s="21"/>
      <c r="MZ37" s="21"/>
      <c r="NA37" s="21"/>
      <c r="NB37" s="21"/>
      <c r="NC37" s="168">
        <v>4568</v>
      </c>
      <c r="ND37" s="168">
        <v>2511</v>
      </c>
      <c r="NE37" s="21"/>
      <c r="NF37" s="21"/>
      <c r="NG37" s="168">
        <v>28028</v>
      </c>
      <c r="NH37" s="168">
        <v>24060</v>
      </c>
      <c r="NI37" s="21"/>
      <c r="NJ37" s="21"/>
      <c r="NK37" s="168">
        <v>6797</v>
      </c>
      <c r="NL37" s="168">
        <v>6673</v>
      </c>
      <c r="NM37" s="168">
        <v>37181</v>
      </c>
      <c r="NN37" s="168">
        <v>33810</v>
      </c>
      <c r="NO37" s="168">
        <v>72773</v>
      </c>
      <c r="NP37" s="168">
        <v>63894</v>
      </c>
      <c r="NQ37" s="168" t="s">
        <v>1149</v>
      </c>
      <c r="NR37" s="168" t="s">
        <v>802</v>
      </c>
      <c r="NS37" s="168" t="s">
        <v>770</v>
      </c>
      <c r="NT37" s="168" t="s">
        <v>771</v>
      </c>
      <c r="NU37" s="168">
        <v>6901</v>
      </c>
      <c r="NV37" s="168" t="s">
        <v>2104</v>
      </c>
      <c r="NW37" s="168" t="s">
        <v>28</v>
      </c>
      <c r="NX37" s="168" t="s">
        <v>25</v>
      </c>
      <c r="NY37" s="169">
        <v>42916</v>
      </c>
      <c r="NZ37" s="169">
        <v>42551</v>
      </c>
      <c r="OA37" s="169">
        <v>43124</v>
      </c>
      <c r="OB37" s="168" t="s">
        <v>1150</v>
      </c>
      <c r="OC37" s="168">
        <v>12</v>
      </c>
      <c r="OD37" s="168" t="s">
        <v>2106</v>
      </c>
      <c r="OE37" s="168" t="s">
        <v>3291</v>
      </c>
      <c r="OF37" s="168" t="s">
        <v>2335</v>
      </c>
      <c r="OG37" s="168" t="s">
        <v>1902</v>
      </c>
      <c r="OH37" s="168" t="s">
        <v>819</v>
      </c>
      <c r="OI37" s="168" t="s">
        <v>766</v>
      </c>
      <c r="OJ37" s="168" t="s">
        <v>3240</v>
      </c>
      <c r="OK37" s="168" t="s">
        <v>801</v>
      </c>
    </row>
    <row r="38" spans="1:401" x14ac:dyDescent="0.2">
      <c r="A38" s="170" t="str">
        <f>Liste[[#This Row],[Siren]]</f>
        <v>304397557</v>
      </c>
      <c r="B38" s="198" t="str">
        <f>Liste[[#This Row],[Dénomination]]&amp;" - comptes "&amp;YEAR(Liste[[#This Row],[Date de cloture de l''exercice]])</f>
        <v>SOCIETE DES TRANSPORTS ANTOINE ET CIE - comptes 2017</v>
      </c>
      <c r="C38" s="21"/>
      <c r="D38" s="21"/>
      <c r="E38" s="21"/>
      <c r="F38" s="21"/>
      <c r="G38" s="21"/>
      <c r="H38" s="21"/>
      <c r="I38" s="168">
        <v>39069216</v>
      </c>
      <c r="J38" s="168">
        <v>34812434</v>
      </c>
      <c r="K38" s="168">
        <v>37393763</v>
      </c>
      <c r="L38" s="168">
        <v>73881651</v>
      </c>
      <c r="M38" s="21"/>
      <c r="N38" s="168">
        <v>7758891</v>
      </c>
      <c r="O38" s="168">
        <v>6277355</v>
      </c>
      <c r="P38" s="168">
        <v>7758891</v>
      </c>
      <c r="Q38" s="21"/>
      <c r="R38" s="168">
        <v>30245</v>
      </c>
      <c r="S38" s="168">
        <v>26410</v>
      </c>
      <c r="T38" s="168">
        <v>30245</v>
      </c>
      <c r="U38" s="21"/>
      <c r="V38" s="21"/>
      <c r="W38" s="21"/>
      <c r="X38" s="21"/>
      <c r="Y38" s="21"/>
      <c r="Z38" s="168">
        <v>3707</v>
      </c>
      <c r="AA38" s="168">
        <v>3707</v>
      </c>
      <c r="AB38" s="168">
        <v>3707</v>
      </c>
      <c r="AC38" s="21"/>
      <c r="AD38" s="21"/>
      <c r="AE38" s="21"/>
      <c r="AF38" s="21"/>
      <c r="AG38" s="21"/>
      <c r="AH38" s="21"/>
      <c r="AI38" s="21"/>
      <c r="AJ38" s="21"/>
      <c r="AK38" s="21"/>
      <c r="AL38" s="168">
        <v>3360</v>
      </c>
      <c r="AM38" s="168">
        <v>3061</v>
      </c>
      <c r="AN38" s="168">
        <v>3360</v>
      </c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168">
        <v>893164</v>
      </c>
      <c r="BH38" s="168">
        <v>21499</v>
      </c>
      <c r="BI38" s="168">
        <v>41824</v>
      </c>
      <c r="BJ38" s="168">
        <v>914663</v>
      </c>
      <c r="BK38" s="168">
        <v>9052375</v>
      </c>
      <c r="BL38" s="168">
        <v>6508451</v>
      </c>
      <c r="BM38" s="168">
        <v>5998778</v>
      </c>
      <c r="BN38" s="168">
        <v>15560826</v>
      </c>
      <c r="BO38" s="21"/>
      <c r="BP38" s="168">
        <v>97790</v>
      </c>
      <c r="BQ38" s="168">
        <v>97789</v>
      </c>
      <c r="BR38" s="168">
        <v>97790</v>
      </c>
      <c r="BS38" s="21"/>
      <c r="BT38" s="21"/>
      <c r="BU38" s="21"/>
      <c r="BV38" s="21"/>
      <c r="BW38" s="21"/>
      <c r="BX38" s="168">
        <v>3897799</v>
      </c>
      <c r="BY38" s="168">
        <v>2616099</v>
      </c>
      <c r="BZ38" s="168">
        <v>3897799</v>
      </c>
      <c r="CA38" s="21"/>
      <c r="CB38" s="21"/>
      <c r="CC38" s="21"/>
      <c r="CD38" s="168">
        <v>3359569</v>
      </c>
      <c r="CE38" s="168">
        <v>565004</v>
      </c>
      <c r="CF38" s="168">
        <v>690560</v>
      </c>
      <c r="CG38" s="168">
        <v>3924573</v>
      </c>
      <c r="CH38" s="168">
        <v>211</v>
      </c>
      <c r="CI38" s="168">
        <v>78591</v>
      </c>
      <c r="CJ38" s="168">
        <v>176928</v>
      </c>
      <c r="CK38" s="168">
        <v>78801</v>
      </c>
      <c r="CL38" s="21"/>
      <c r="CM38" s="21"/>
      <c r="CN38" s="21"/>
      <c r="CO38" s="21"/>
      <c r="CP38" s="21"/>
      <c r="CQ38" s="168">
        <v>369701</v>
      </c>
      <c r="CR38" s="168">
        <v>369701</v>
      </c>
      <c r="CS38" s="168">
        <v>369701</v>
      </c>
      <c r="CT38" s="21"/>
      <c r="CU38" s="21"/>
      <c r="CV38" s="21"/>
      <c r="CW38" s="21"/>
      <c r="CX38" s="21"/>
      <c r="CY38" s="21"/>
      <c r="CZ38" s="21"/>
      <c r="DA38" s="21"/>
      <c r="DB38" s="21"/>
      <c r="DC38" s="168">
        <v>74306</v>
      </c>
      <c r="DD38" s="168">
        <v>179074</v>
      </c>
      <c r="DE38" s="168">
        <v>74306</v>
      </c>
      <c r="DF38" s="168">
        <v>1685093</v>
      </c>
      <c r="DG38" s="168">
        <v>939899</v>
      </c>
      <c r="DH38" s="168">
        <v>1020010</v>
      </c>
      <c r="DI38" s="168">
        <v>2624991</v>
      </c>
      <c r="DJ38" s="21"/>
      <c r="DK38" s="21"/>
      <c r="DL38" s="21"/>
      <c r="DM38" s="21"/>
      <c r="DN38" s="168">
        <v>273688</v>
      </c>
      <c r="DO38" s="168">
        <v>2514169</v>
      </c>
      <c r="DP38" s="168">
        <v>2072816</v>
      </c>
      <c r="DQ38" s="168">
        <v>2787857</v>
      </c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168">
        <v>146503</v>
      </c>
      <c r="EE38" s="168">
        <v>151914</v>
      </c>
      <c r="EF38" s="168">
        <v>146503</v>
      </c>
      <c r="EG38" s="21"/>
      <c r="EH38" s="21"/>
      <c r="EI38" s="21"/>
      <c r="EJ38" s="21"/>
      <c r="EK38" s="168">
        <v>55536634</v>
      </c>
      <c r="EL38" s="168">
        <v>55113542</v>
      </c>
      <c r="EM38" s="168">
        <v>55961839</v>
      </c>
      <c r="EN38" s="168">
        <v>110650176</v>
      </c>
      <c r="EO38" s="168">
        <v>451331</v>
      </c>
      <c r="EP38" s="168">
        <v>43684958</v>
      </c>
      <c r="EQ38" s="168">
        <v>42386147</v>
      </c>
      <c r="ER38" s="168">
        <v>44136289</v>
      </c>
      <c r="ES38" s="21"/>
      <c r="ET38" s="168">
        <v>98798500</v>
      </c>
      <c r="EU38" s="168">
        <v>98347986</v>
      </c>
      <c r="EV38" s="21"/>
      <c r="EW38" s="168">
        <v>1477217</v>
      </c>
      <c r="EX38" s="168">
        <v>3612982</v>
      </c>
      <c r="EY38" s="168">
        <v>3565051</v>
      </c>
      <c r="EZ38" s="168">
        <v>5090199</v>
      </c>
      <c r="FA38" s="21"/>
      <c r="FB38" s="168">
        <v>318631</v>
      </c>
      <c r="FC38" s="168">
        <v>297817</v>
      </c>
      <c r="FD38" s="168">
        <v>318631</v>
      </c>
      <c r="FE38" s="168">
        <v>118</v>
      </c>
      <c r="FF38" s="168">
        <v>10609407</v>
      </c>
      <c r="FG38" s="168">
        <v>9186260</v>
      </c>
      <c r="FH38" s="168">
        <v>10609525</v>
      </c>
      <c r="FI38" s="168">
        <v>1876250</v>
      </c>
      <c r="FJ38" s="168">
        <v>800623</v>
      </c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168">
        <v>1946680</v>
      </c>
      <c r="FX38" s="168">
        <v>1577261</v>
      </c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168">
        <v>4729771</v>
      </c>
      <c r="GN38" s="168">
        <v>3902031</v>
      </c>
      <c r="GO38" s="168">
        <v>4829600</v>
      </c>
      <c r="GP38" s="168">
        <v>3997604</v>
      </c>
      <c r="GQ38" s="168">
        <v>25727</v>
      </c>
      <c r="GR38" s="168">
        <v>29983</v>
      </c>
      <c r="GS38" s="168">
        <v>4474371</v>
      </c>
      <c r="GT38" s="168">
        <v>3664510</v>
      </c>
      <c r="GU38" s="168">
        <v>3370176</v>
      </c>
      <c r="GV38" s="168">
        <v>4836880</v>
      </c>
      <c r="GW38" s="168">
        <v>5246426</v>
      </c>
      <c r="GX38" s="168">
        <v>5637504</v>
      </c>
      <c r="GY38" s="21"/>
      <c r="GZ38" s="21"/>
      <c r="HA38" s="168">
        <v>29447482</v>
      </c>
      <c r="HB38" s="168">
        <v>25883418</v>
      </c>
      <c r="HC38" s="168">
        <v>46842594</v>
      </c>
      <c r="HD38" s="168">
        <v>43174933</v>
      </c>
      <c r="HE38" s="168">
        <v>18015</v>
      </c>
      <c r="HF38" s="168">
        <v>56043</v>
      </c>
      <c r="HG38" s="21"/>
      <c r="HH38" s="21"/>
      <c r="HI38" s="168">
        <v>2515777</v>
      </c>
      <c r="HJ38" s="168">
        <v>2402654</v>
      </c>
      <c r="HK38" s="21"/>
      <c r="HL38" s="21"/>
      <c r="HM38" s="21"/>
      <c r="HN38" s="21"/>
      <c r="HO38" s="168">
        <v>8874177</v>
      </c>
      <c r="HP38" s="168">
        <v>8569368</v>
      </c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168">
        <v>2638318</v>
      </c>
      <c r="IF38" s="168">
        <v>2663936</v>
      </c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  <c r="IS38" s="21"/>
      <c r="IT38" s="21"/>
      <c r="IU38" s="168">
        <v>4900030</v>
      </c>
      <c r="IV38" s="168">
        <v>4774242</v>
      </c>
      <c r="IW38" s="168">
        <v>5133344</v>
      </c>
      <c r="IX38" s="168">
        <v>5137515</v>
      </c>
      <c r="IY38" s="168">
        <v>-233314</v>
      </c>
      <c r="IZ38" s="168">
        <v>-363273</v>
      </c>
      <c r="JA38" s="21"/>
      <c r="JB38" s="21"/>
      <c r="JC38" s="21"/>
      <c r="JD38" s="21"/>
      <c r="JE38" s="168">
        <v>29158960</v>
      </c>
      <c r="JF38" s="168">
        <v>27876725</v>
      </c>
      <c r="JG38" s="168">
        <v>129965</v>
      </c>
      <c r="JH38" s="168">
        <v>55294</v>
      </c>
      <c r="JI38" s="168">
        <v>53641600</v>
      </c>
      <c r="JJ38" s="168">
        <v>51769138</v>
      </c>
      <c r="JK38" s="168">
        <v>428227</v>
      </c>
      <c r="JL38" s="168">
        <v>583347</v>
      </c>
      <c r="JM38" s="168">
        <v>134511213</v>
      </c>
      <c r="JN38" s="168">
        <v>125648789</v>
      </c>
      <c r="JO38" s="168">
        <v>194913</v>
      </c>
      <c r="JP38" s="168">
        <v>220074</v>
      </c>
      <c r="JQ38" s="21"/>
      <c r="JR38" s="21"/>
      <c r="JS38" s="168">
        <v>-553807</v>
      </c>
      <c r="JT38" s="168">
        <v>-316215</v>
      </c>
      <c r="JU38" s="21"/>
      <c r="JV38" s="21"/>
      <c r="JW38" s="168">
        <v>131969198</v>
      </c>
      <c r="JX38" s="168">
        <v>123371705</v>
      </c>
      <c r="JY38" s="21"/>
      <c r="JZ38" s="21"/>
      <c r="KA38" s="21"/>
      <c r="KB38" s="21"/>
      <c r="KC38" s="21"/>
      <c r="KD38" s="21"/>
      <c r="KE38" s="21"/>
      <c r="KF38" s="21"/>
      <c r="KG38" s="21"/>
      <c r="KH38" s="21"/>
      <c r="KI38" s="21"/>
      <c r="KJ38" s="21"/>
      <c r="KK38" s="21"/>
      <c r="KL38" s="21"/>
      <c r="KM38" s="21"/>
      <c r="KN38" s="21"/>
      <c r="KO38" s="21"/>
      <c r="KP38" s="21"/>
      <c r="KQ38" s="168">
        <v>530241</v>
      </c>
      <c r="KR38" s="168">
        <v>412321</v>
      </c>
      <c r="KS38" s="21"/>
      <c r="KT38" s="21"/>
      <c r="KU38" s="21"/>
      <c r="KV38" s="21"/>
      <c r="KW38" s="21"/>
      <c r="KX38" s="21"/>
      <c r="KY38" s="21"/>
      <c r="KZ38" s="21"/>
      <c r="LA38" s="168">
        <v>900000</v>
      </c>
      <c r="LB38" s="168">
        <v>900000</v>
      </c>
      <c r="LC38" s="21"/>
      <c r="LD38" s="21"/>
      <c r="LE38" s="21"/>
      <c r="LF38" s="21"/>
      <c r="LG38" s="21"/>
      <c r="LH38" s="21"/>
      <c r="LI38" s="168">
        <v>15867262</v>
      </c>
      <c r="LJ38" s="168">
        <v>14754516</v>
      </c>
      <c r="LK38" s="168">
        <v>8457164</v>
      </c>
      <c r="LL38" s="168">
        <v>9554841</v>
      </c>
      <c r="LM38" s="168">
        <v>950166</v>
      </c>
      <c r="LN38" s="168">
        <v>827579</v>
      </c>
      <c r="LO38" s="21"/>
      <c r="LP38" s="21"/>
      <c r="LQ38" s="21"/>
      <c r="LR38" s="21"/>
      <c r="LS38" s="21"/>
      <c r="LT38" s="21"/>
      <c r="LU38" s="21"/>
      <c r="LV38" s="21"/>
      <c r="LW38" s="21"/>
      <c r="LX38" s="21"/>
      <c r="LY38" s="21"/>
      <c r="LZ38" s="21"/>
      <c r="MA38" s="168">
        <v>40866051</v>
      </c>
      <c r="MB38" s="168">
        <v>42385741</v>
      </c>
      <c r="MC38" s="168">
        <v>389504</v>
      </c>
      <c r="MD38" s="168">
        <v>187682</v>
      </c>
      <c r="ME38" s="21"/>
      <c r="MF38" s="21"/>
      <c r="MG38" s="168">
        <v>2835409</v>
      </c>
      <c r="MH38" s="168">
        <v>2810987</v>
      </c>
      <c r="MI38" s="21"/>
      <c r="MJ38" s="21"/>
      <c r="MK38" s="21"/>
      <c r="ML38" s="21"/>
      <c r="MM38" s="168">
        <v>388239</v>
      </c>
      <c r="MN38" s="168">
        <v>168751</v>
      </c>
      <c r="MO38" s="21"/>
      <c r="MP38" s="21"/>
      <c r="MQ38" s="21"/>
      <c r="MR38" s="21"/>
      <c r="MS38" s="21"/>
      <c r="MT38" s="21"/>
      <c r="MU38" s="21"/>
      <c r="MV38" s="21"/>
      <c r="MW38" s="168">
        <v>19997979</v>
      </c>
      <c r="MX38" s="168">
        <v>18789679</v>
      </c>
      <c r="MY38" s="21"/>
      <c r="MZ38" s="21"/>
      <c r="NA38" s="21"/>
      <c r="NB38" s="21"/>
      <c r="NC38" s="168">
        <v>4474371</v>
      </c>
      <c r="ND38" s="168">
        <v>3664510</v>
      </c>
      <c r="NE38" s="21"/>
      <c r="NF38" s="21"/>
      <c r="NG38" s="168">
        <v>27229200</v>
      </c>
      <c r="NH38" s="168">
        <v>25197094</v>
      </c>
      <c r="NI38" s="21"/>
      <c r="NJ38" s="21"/>
      <c r="NK38" s="21"/>
      <c r="NL38" s="21"/>
      <c r="NM38" s="168">
        <v>67459910</v>
      </c>
      <c r="NN38" s="168">
        <v>68308359</v>
      </c>
      <c r="NO38" s="168">
        <v>98798500</v>
      </c>
      <c r="NP38" s="168">
        <v>98347986</v>
      </c>
      <c r="NQ38" s="168" t="s">
        <v>3292</v>
      </c>
      <c r="NR38" s="168" t="s">
        <v>802</v>
      </c>
      <c r="NS38" s="168" t="s">
        <v>770</v>
      </c>
      <c r="NT38" s="168" t="s">
        <v>771</v>
      </c>
      <c r="NU38" s="168">
        <v>8501</v>
      </c>
      <c r="NV38" s="168" t="s">
        <v>2104</v>
      </c>
      <c r="NW38" s="168" t="s">
        <v>28</v>
      </c>
      <c r="NX38" s="168" t="s">
        <v>25</v>
      </c>
      <c r="NY38" s="169">
        <v>42916</v>
      </c>
      <c r="NZ38" s="169">
        <v>42551</v>
      </c>
      <c r="OA38" s="169">
        <v>43098</v>
      </c>
      <c r="OB38" s="168" t="s">
        <v>3293</v>
      </c>
      <c r="OC38" s="168">
        <v>12</v>
      </c>
      <c r="OD38" s="168" t="s">
        <v>2106</v>
      </c>
      <c r="OE38" s="168" t="s">
        <v>3294</v>
      </c>
      <c r="OF38" s="168" t="s">
        <v>3295</v>
      </c>
      <c r="OG38" s="168" t="s">
        <v>3296</v>
      </c>
      <c r="OH38" s="168" t="s">
        <v>873</v>
      </c>
      <c r="OI38" s="168" t="s">
        <v>766</v>
      </c>
      <c r="OJ38" s="168" t="s">
        <v>3240</v>
      </c>
      <c r="OK38" s="168" t="s">
        <v>801</v>
      </c>
    </row>
    <row r="39" spans="1:401" x14ac:dyDescent="0.2">
      <c r="A39" s="170" t="str">
        <f>Liste[[#This Row],[Siren]]</f>
        <v>499154557</v>
      </c>
      <c r="B39" s="198" t="str">
        <f>Liste[[#This Row],[Dénomination]]&amp;" - comptes "&amp;YEAR(Liste[[#This Row],[Date de cloture de l''exercice]])</f>
        <v>F INICIATIVAS - comptes 2017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168">
        <v>1855355</v>
      </c>
      <c r="BD39" s="168">
        <v>17073829</v>
      </c>
      <c r="BE39" s="168">
        <v>15254584</v>
      </c>
      <c r="BF39" s="168">
        <v>18929183</v>
      </c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168">
        <v>3813234</v>
      </c>
      <c r="BY39" s="168">
        <v>187158</v>
      </c>
      <c r="BZ39" s="168">
        <v>3813234</v>
      </c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168">
        <v>2848374</v>
      </c>
      <c r="EL39" s="168">
        <v>1555498</v>
      </c>
      <c r="EM39" s="168">
        <v>1545047</v>
      </c>
      <c r="EN39" s="168">
        <v>4403872</v>
      </c>
      <c r="EO39" s="168">
        <v>2090698</v>
      </c>
      <c r="EP39" s="168">
        <v>33198665</v>
      </c>
      <c r="EQ39" s="168">
        <v>25850804</v>
      </c>
      <c r="ER39" s="168">
        <v>35289363</v>
      </c>
      <c r="ES39" s="168">
        <v>4939071</v>
      </c>
      <c r="ET39" s="168">
        <v>34754164</v>
      </c>
      <c r="EU39" s="168">
        <v>27395851</v>
      </c>
      <c r="EV39" s="168">
        <v>39693234</v>
      </c>
      <c r="EW39" s="21"/>
      <c r="EX39" s="21"/>
      <c r="EY39" s="21"/>
      <c r="EZ39" s="21"/>
      <c r="FA39" s="21"/>
      <c r="FB39" s="21"/>
      <c r="FC39" s="21"/>
      <c r="FD39" s="21"/>
      <c r="FE39" s="168">
        <v>12370</v>
      </c>
      <c r="FF39" s="168">
        <v>9972796</v>
      </c>
      <c r="FG39" s="168">
        <v>8323712</v>
      </c>
      <c r="FH39" s="168">
        <v>9985166</v>
      </c>
      <c r="FI39" s="168">
        <v>-35954</v>
      </c>
      <c r="FJ39" s="168">
        <v>-88426</v>
      </c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168">
        <v>-3510770</v>
      </c>
      <c r="FX39" s="168">
        <v>-2453994</v>
      </c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168">
        <v>6899496</v>
      </c>
      <c r="GN39" s="168">
        <v>4825124</v>
      </c>
      <c r="GO39" s="168">
        <v>6899496</v>
      </c>
      <c r="GP39" s="168">
        <v>4825124</v>
      </c>
      <c r="GQ39" s="21"/>
      <c r="GR39" s="21"/>
      <c r="GS39" s="168">
        <v>6899496</v>
      </c>
      <c r="GT39" s="168">
        <v>4825124</v>
      </c>
      <c r="GU39" s="168">
        <v>-91361</v>
      </c>
      <c r="GV39" s="168">
        <v>-137042</v>
      </c>
      <c r="GW39" s="168">
        <v>55407</v>
      </c>
      <c r="GX39" s="168">
        <v>48616</v>
      </c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168">
        <v>3269537</v>
      </c>
      <c r="HJ39" s="168">
        <v>3052085</v>
      </c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168">
        <v>-1333511</v>
      </c>
      <c r="IF39" s="168">
        <v>-1126365</v>
      </c>
      <c r="IG39" s="21"/>
      <c r="IH39" s="21"/>
      <c r="II39" s="21"/>
      <c r="IJ39" s="21"/>
      <c r="IK39" s="21"/>
      <c r="IL39" s="21"/>
      <c r="IM39" s="21"/>
      <c r="IN39" s="21"/>
      <c r="IO39" s="21"/>
      <c r="IP39" s="21"/>
      <c r="IQ39" s="168">
        <v>72198</v>
      </c>
      <c r="IR39" s="168">
        <v>53071</v>
      </c>
      <c r="IS39" s="21"/>
      <c r="IT39" s="21"/>
      <c r="IU39" s="168">
        <v>10446221</v>
      </c>
      <c r="IV39" s="168">
        <v>7367544</v>
      </c>
      <c r="IW39" s="168">
        <v>10525155</v>
      </c>
      <c r="IX39" s="168">
        <v>7345306</v>
      </c>
      <c r="IY39" s="168">
        <v>-78934</v>
      </c>
      <c r="IZ39" s="168">
        <v>22239</v>
      </c>
      <c r="JA39" s="21"/>
      <c r="JB39" s="21"/>
      <c r="JC39" s="21"/>
      <c r="JD39" s="21"/>
      <c r="JE39" s="21"/>
      <c r="JF39" s="21"/>
      <c r="JG39" s="21"/>
      <c r="JH39" s="21"/>
      <c r="JI39" s="168">
        <v>-34848471</v>
      </c>
      <c r="JJ39" s="168">
        <v>-31780982</v>
      </c>
      <c r="JK39" s="168">
        <v>-151132</v>
      </c>
      <c r="JL39" s="168">
        <v>-30832</v>
      </c>
      <c r="JM39" s="168">
        <v>45373626</v>
      </c>
      <c r="JN39" s="168">
        <v>39126287</v>
      </c>
      <c r="JO39" s="168">
        <v>72198</v>
      </c>
      <c r="JP39" s="168">
        <v>53071</v>
      </c>
      <c r="JQ39" s="21"/>
      <c r="JR39" s="21"/>
      <c r="JS39" s="21"/>
      <c r="JT39" s="21"/>
      <c r="JU39" s="21"/>
      <c r="JV39" s="21"/>
      <c r="JW39" s="168">
        <v>42104089</v>
      </c>
      <c r="JX39" s="168">
        <v>36074203</v>
      </c>
      <c r="JY39" s="21"/>
      <c r="JZ39" s="21"/>
      <c r="KA39" s="21"/>
      <c r="KB39" s="21"/>
      <c r="KC39" s="21"/>
      <c r="KD39" s="21"/>
      <c r="KE39" s="21"/>
      <c r="KF39" s="21"/>
      <c r="KG39" s="21"/>
      <c r="KH39" s="21"/>
      <c r="KI39" s="21"/>
      <c r="KJ39" s="21"/>
      <c r="KK39" s="21"/>
      <c r="KL39" s="21"/>
      <c r="KM39" s="21"/>
      <c r="KN39" s="21"/>
      <c r="KO39" s="21"/>
      <c r="KP39" s="21"/>
      <c r="KQ39" s="21"/>
      <c r="KR39" s="21"/>
      <c r="KS39" s="21"/>
      <c r="KT39" s="21"/>
      <c r="KU39" s="21"/>
      <c r="KV39" s="21"/>
      <c r="KW39" s="21"/>
      <c r="KX39" s="21"/>
      <c r="KY39" s="21"/>
      <c r="KZ39" s="21"/>
      <c r="LA39" s="168">
        <v>227000</v>
      </c>
      <c r="LB39" s="168">
        <v>227000</v>
      </c>
      <c r="LC39" s="21"/>
      <c r="LD39" s="21"/>
      <c r="LE39" s="21"/>
      <c r="LF39" s="21"/>
      <c r="LG39" s="21"/>
      <c r="LH39" s="21"/>
      <c r="LI39" s="21"/>
      <c r="LJ39" s="21"/>
      <c r="LK39" s="168">
        <v>1781735</v>
      </c>
      <c r="LL39" s="168">
        <v>1128466</v>
      </c>
      <c r="LM39" s="21"/>
      <c r="LN39" s="21"/>
      <c r="LO39" s="21"/>
      <c r="LP39" s="21"/>
      <c r="LQ39" s="21"/>
      <c r="LR39" s="21"/>
      <c r="LS39" s="21"/>
      <c r="LT39" s="21"/>
      <c r="LU39" s="21"/>
      <c r="LV39" s="21"/>
      <c r="LW39" s="21"/>
      <c r="LX39" s="21"/>
      <c r="LY39" s="21"/>
      <c r="LZ39" s="21"/>
      <c r="MA39" s="21"/>
      <c r="MB39" s="21"/>
      <c r="MC39" s="168">
        <v>881005</v>
      </c>
      <c r="MD39" s="168">
        <v>1083360</v>
      </c>
      <c r="ME39" s="21"/>
      <c r="MF39" s="21"/>
      <c r="MG39" s="168">
        <v>5530045</v>
      </c>
      <c r="MH39" s="168">
        <v>4375048</v>
      </c>
      <c r="MI39" s="21"/>
      <c r="MJ39" s="21"/>
      <c r="MK39" s="21"/>
      <c r="ML39" s="21"/>
      <c r="MM39" s="21"/>
      <c r="MN39" s="21"/>
      <c r="MO39" s="21"/>
      <c r="MP39" s="21"/>
      <c r="MQ39" s="21"/>
      <c r="MR39" s="21"/>
      <c r="MS39" s="21"/>
      <c r="MT39" s="21"/>
      <c r="MU39" s="21"/>
      <c r="MV39" s="21"/>
      <c r="MW39" s="21"/>
      <c r="MX39" s="21"/>
      <c r="MY39" s="21"/>
      <c r="MZ39" s="21"/>
      <c r="NA39" s="21"/>
      <c r="NB39" s="21"/>
      <c r="NC39" s="168">
        <v>6699496</v>
      </c>
      <c r="ND39" s="168">
        <v>4825124</v>
      </c>
      <c r="NE39" s="21"/>
      <c r="NF39" s="21"/>
      <c r="NG39" s="168">
        <v>14805247</v>
      </c>
      <c r="NH39" s="168">
        <v>11905751</v>
      </c>
      <c r="NI39" s="21"/>
      <c r="NJ39" s="21"/>
      <c r="NK39" s="21"/>
      <c r="NL39" s="21"/>
      <c r="NM39" s="168">
        <v>14418871</v>
      </c>
      <c r="NN39" s="168">
        <v>11115053</v>
      </c>
      <c r="NO39" s="168">
        <v>34754164</v>
      </c>
      <c r="NP39" s="168">
        <v>27395851</v>
      </c>
      <c r="NQ39" s="168" t="s">
        <v>994</v>
      </c>
      <c r="NR39" s="168" t="s">
        <v>779</v>
      </c>
      <c r="NS39" s="168" t="s">
        <v>770</v>
      </c>
      <c r="NT39" s="168" t="s">
        <v>771</v>
      </c>
      <c r="NU39" s="168">
        <v>9201</v>
      </c>
      <c r="NV39" s="168" t="s">
        <v>2104</v>
      </c>
      <c r="NW39" s="168" t="s">
        <v>28</v>
      </c>
      <c r="NX39" s="168" t="s">
        <v>25</v>
      </c>
      <c r="NY39" s="169">
        <v>42916</v>
      </c>
      <c r="NZ39" s="169">
        <v>42551</v>
      </c>
      <c r="OA39" s="169">
        <v>43129</v>
      </c>
      <c r="OB39" s="168" t="s">
        <v>3304</v>
      </c>
      <c r="OC39" s="168">
        <v>12</v>
      </c>
      <c r="OD39" s="168" t="s">
        <v>2105</v>
      </c>
      <c r="OE39" s="168" t="s">
        <v>2176</v>
      </c>
      <c r="OF39" s="168" t="s">
        <v>3305</v>
      </c>
      <c r="OG39" s="168" t="s">
        <v>3306</v>
      </c>
      <c r="OH39" s="168" t="s">
        <v>777</v>
      </c>
      <c r="OI39" s="168" t="s">
        <v>766</v>
      </c>
      <c r="OJ39" s="168" t="s">
        <v>3240</v>
      </c>
      <c r="OK39" s="168" t="s">
        <v>778</v>
      </c>
    </row>
    <row r="40" spans="1:401" x14ac:dyDescent="0.2">
      <c r="A40" s="170" t="str">
        <f>Liste[[#This Row],[Siren]]</f>
        <v>582041943</v>
      </c>
      <c r="B40" s="198" t="str">
        <f>Liste[[#This Row],[Dénomination]]&amp;" - comptes "&amp;YEAR(Liste[[#This Row],[Date de cloture de l''exercice]])</f>
        <v>PERNOD RICARD - comptes 2017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168">
        <v>17000000</v>
      </c>
      <c r="DT40" s="168">
        <v>15000000</v>
      </c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168">
        <v>5486000000</v>
      </c>
      <c r="EI40" s="168">
        <v>5397000000</v>
      </c>
      <c r="EJ40" s="21"/>
      <c r="EK40" s="21"/>
      <c r="EL40" s="168">
        <v>23310000000</v>
      </c>
      <c r="EM40" s="168">
        <v>22557000000</v>
      </c>
      <c r="EN40" s="21"/>
      <c r="EO40" s="21"/>
      <c r="EP40" s="168">
        <v>7282000000</v>
      </c>
      <c r="EQ40" s="168">
        <v>7521000000</v>
      </c>
      <c r="ER40" s="21"/>
      <c r="ES40" s="21"/>
      <c r="ET40" s="168">
        <v>30598000000</v>
      </c>
      <c r="EU40" s="168">
        <v>30088000000</v>
      </c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168">
        <v>-408000000</v>
      </c>
      <c r="FX40" s="168">
        <v>-438000000</v>
      </c>
      <c r="FY40" s="168">
        <v>20000000</v>
      </c>
      <c r="FZ40" s="168">
        <v>28000000</v>
      </c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168">
        <v>1255000000</v>
      </c>
      <c r="GN40" s="168">
        <v>1421000000</v>
      </c>
      <c r="GO40" s="21"/>
      <c r="GP40" s="21"/>
      <c r="GQ40" s="21"/>
      <c r="GR40" s="21"/>
      <c r="GS40" s="168">
        <v>1235000000</v>
      </c>
      <c r="GT40" s="168">
        <v>1393000000</v>
      </c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168">
        <v>306000000</v>
      </c>
      <c r="HF40" s="168">
        <v>315000000</v>
      </c>
      <c r="HG40" s="21"/>
      <c r="HH40" s="21"/>
      <c r="HI40" s="168">
        <v>124000000</v>
      </c>
      <c r="HJ40" s="168">
        <v>152000000</v>
      </c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  <c r="ID40" s="21"/>
      <c r="IE40" s="21"/>
      <c r="IF40" s="21"/>
      <c r="IG40" s="21"/>
      <c r="IH40" s="21"/>
      <c r="II40" s="21"/>
      <c r="IJ40" s="21"/>
      <c r="IK40" s="21"/>
      <c r="IL40" s="21"/>
      <c r="IM40" s="21"/>
      <c r="IN40" s="21"/>
      <c r="IO40" s="21"/>
      <c r="IP40" s="21"/>
      <c r="IQ40" s="21"/>
      <c r="IR40" s="21"/>
      <c r="IS40" s="21"/>
      <c r="IT40" s="21"/>
      <c r="IU40" s="168">
        <v>1663000000</v>
      </c>
      <c r="IV40" s="168">
        <v>1858000000</v>
      </c>
      <c r="IW40" s="168">
        <v>2095000000</v>
      </c>
      <c r="IX40" s="168">
        <v>2232000000</v>
      </c>
      <c r="IY40" s="168">
        <v>-432000000</v>
      </c>
      <c r="IZ40" s="168">
        <v>-374000000</v>
      </c>
      <c r="JA40" s="21"/>
      <c r="JB40" s="21"/>
      <c r="JC40" s="21"/>
      <c r="JD40" s="21"/>
      <c r="JE40" s="21"/>
      <c r="JF40" s="21"/>
      <c r="JG40" s="21"/>
      <c r="JH40" s="21"/>
      <c r="JI40" s="21"/>
      <c r="JJ40" s="21"/>
      <c r="JK40" s="168">
        <v>495000000</v>
      </c>
      <c r="JL40" s="168">
        <v>427000000</v>
      </c>
      <c r="JM40" s="21"/>
      <c r="JN40" s="21"/>
      <c r="JO40" s="168">
        <v>63000000</v>
      </c>
      <c r="JP40" s="168">
        <v>53000000</v>
      </c>
      <c r="JQ40" s="21"/>
      <c r="JR40" s="21"/>
      <c r="JS40" s="21"/>
      <c r="JT40" s="21"/>
      <c r="JU40" s="21"/>
      <c r="JV40" s="21"/>
      <c r="JW40" s="168">
        <v>8682000000</v>
      </c>
      <c r="JX40" s="168">
        <v>9010000000</v>
      </c>
      <c r="JY40" s="21"/>
      <c r="JZ40" s="21"/>
      <c r="KA40" s="21"/>
      <c r="KB40" s="21"/>
      <c r="KC40" s="21"/>
      <c r="KD40" s="21"/>
      <c r="KE40" s="21"/>
      <c r="KF40" s="21"/>
      <c r="KG40" s="21"/>
      <c r="KH40" s="21"/>
      <c r="KI40" s="21"/>
      <c r="KJ40" s="21"/>
      <c r="KK40" s="21"/>
      <c r="KL40" s="21"/>
      <c r="KM40" s="21"/>
      <c r="KN40" s="21"/>
      <c r="KO40" s="21"/>
      <c r="KP40" s="21"/>
      <c r="KQ40" s="21"/>
      <c r="KR40" s="21"/>
      <c r="KS40" s="21"/>
      <c r="KT40" s="21"/>
      <c r="KU40" s="21"/>
      <c r="KV40" s="21"/>
      <c r="KW40" s="21"/>
      <c r="KX40" s="21"/>
      <c r="KY40" s="21"/>
      <c r="KZ40" s="21"/>
      <c r="LA40" s="168">
        <v>411000000</v>
      </c>
      <c r="LB40" s="168">
        <v>411000000</v>
      </c>
      <c r="LC40" s="21"/>
      <c r="LD40" s="21"/>
      <c r="LE40" s="21"/>
      <c r="LF40" s="21"/>
      <c r="LG40" s="21"/>
      <c r="LH40" s="21"/>
      <c r="LI40" s="21"/>
      <c r="LJ40" s="21"/>
      <c r="LK40" s="168">
        <v>1688000000</v>
      </c>
      <c r="LL40" s="168">
        <v>1826000000</v>
      </c>
      <c r="LM40" s="21"/>
      <c r="LN40" s="21"/>
      <c r="LO40" s="21"/>
      <c r="LP40" s="21"/>
      <c r="LQ40" s="21"/>
      <c r="LR40" s="21"/>
      <c r="LS40" s="21"/>
      <c r="LT40" s="21"/>
      <c r="LU40" s="21"/>
      <c r="LV40" s="21"/>
      <c r="LW40" s="21"/>
      <c r="LX40" s="21"/>
      <c r="LY40" s="21"/>
      <c r="LZ40" s="21"/>
      <c r="MA40" s="21"/>
      <c r="MB40" s="21"/>
      <c r="MC40" s="21"/>
      <c r="MD40" s="21"/>
      <c r="ME40" s="21"/>
      <c r="MF40" s="21"/>
      <c r="MG40" s="168">
        <v>3556000000</v>
      </c>
      <c r="MH40" s="168">
        <v>3421000000</v>
      </c>
      <c r="MI40" s="168">
        <v>3052000000</v>
      </c>
      <c r="MJ40" s="168">
        <v>3052000000</v>
      </c>
      <c r="MK40" s="21"/>
      <c r="ML40" s="21"/>
      <c r="MM40" s="21"/>
      <c r="MN40" s="21"/>
      <c r="MO40" s="21"/>
      <c r="MP40" s="21"/>
      <c r="MQ40" s="21"/>
      <c r="MR40" s="21"/>
      <c r="MS40" s="21"/>
      <c r="MT40" s="21"/>
      <c r="MU40" s="21"/>
      <c r="MV40" s="21"/>
      <c r="MW40" s="21"/>
      <c r="MX40" s="21"/>
      <c r="MY40" s="21"/>
      <c r="MZ40" s="21"/>
      <c r="NA40" s="21"/>
      <c r="NB40" s="21"/>
      <c r="NC40" s="168">
        <v>1235000000</v>
      </c>
      <c r="ND40" s="168">
        <v>1393000000</v>
      </c>
      <c r="NE40" s="21"/>
      <c r="NF40" s="21"/>
      <c r="NG40" s="168">
        <v>13337000000</v>
      </c>
      <c r="NH40" s="168">
        <v>13706000000</v>
      </c>
      <c r="NI40" s="21"/>
      <c r="NJ40" s="21"/>
      <c r="NK40" s="168">
        <v>169000000</v>
      </c>
      <c r="NL40" s="168">
        <v>180000000</v>
      </c>
      <c r="NM40" s="168">
        <v>13536000000</v>
      </c>
      <c r="NN40" s="168">
        <v>12781000000</v>
      </c>
      <c r="NO40" s="168">
        <v>30598000000</v>
      </c>
      <c r="NP40" s="168">
        <v>30088000000</v>
      </c>
      <c r="NQ40" s="168" t="s">
        <v>1002</v>
      </c>
      <c r="NR40" s="168" t="s">
        <v>797</v>
      </c>
      <c r="NS40" s="168" t="s">
        <v>770</v>
      </c>
      <c r="NT40" s="168" t="s">
        <v>771</v>
      </c>
      <c r="NU40" s="168">
        <v>7501</v>
      </c>
      <c r="NV40" s="168" t="s">
        <v>2104</v>
      </c>
      <c r="NW40" s="168" t="s">
        <v>28</v>
      </c>
      <c r="NX40" s="168" t="s">
        <v>25</v>
      </c>
      <c r="NY40" s="169">
        <v>42916</v>
      </c>
      <c r="NZ40" s="169">
        <v>42551</v>
      </c>
      <c r="OA40" s="169">
        <v>43063</v>
      </c>
      <c r="OB40" s="168" t="s">
        <v>1577</v>
      </c>
      <c r="OC40" s="168">
        <v>12</v>
      </c>
      <c r="OD40" s="168" t="s">
        <v>2106</v>
      </c>
      <c r="OE40" s="168" t="s">
        <v>2459</v>
      </c>
      <c r="OF40" s="168" t="s">
        <v>2653</v>
      </c>
      <c r="OG40" s="168" t="s">
        <v>2099</v>
      </c>
      <c r="OH40" s="168" t="s">
        <v>765</v>
      </c>
      <c r="OI40" s="168" t="s">
        <v>766</v>
      </c>
      <c r="OJ40" s="168" t="s">
        <v>3240</v>
      </c>
      <c r="OK40" s="168" t="s">
        <v>796</v>
      </c>
    </row>
    <row r="41" spans="1:401" x14ac:dyDescent="0.2">
      <c r="A41" s="170" t="str">
        <f>Liste[[#This Row],[Siren]]</f>
        <v>820923043</v>
      </c>
      <c r="B41" s="198" t="str">
        <f>Liste[[#This Row],[Dénomination]]&amp;" - comptes "&amp;YEAR(Liste[[#This Row],[Date de cloture de l''exercice]])</f>
        <v>SNADEC GESTION - comptes 2017</v>
      </c>
      <c r="C41" s="21"/>
      <c r="D41" s="21"/>
      <c r="E41" s="21"/>
      <c r="F41" s="168">
        <v>2187344</v>
      </c>
      <c r="G41" s="168">
        <v>1791794</v>
      </c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168">
        <v>18265603</v>
      </c>
      <c r="BE41" s="168">
        <v>13305351</v>
      </c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168">
        <v>14554014</v>
      </c>
      <c r="BY41" s="168">
        <v>17838289</v>
      </c>
      <c r="BZ41" s="21"/>
      <c r="CA41" s="21"/>
      <c r="CB41" s="21"/>
      <c r="CC41" s="21"/>
      <c r="CD41" s="21"/>
      <c r="CE41" s="168">
        <v>19262856</v>
      </c>
      <c r="CF41" s="168">
        <v>19262856</v>
      </c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168">
        <v>2695594</v>
      </c>
      <c r="EM41" s="168">
        <v>2606700</v>
      </c>
      <c r="EN41" s="21"/>
      <c r="EO41" s="21"/>
      <c r="EP41" s="168">
        <v>36271789</v>
      </c>
      <c r="EQ41" s="168">
        <v>33893740</v>
      </c>
      <c r="ER41" s="21"/>
      <c r="ES41" s="21"/>
      <c r="ET41" s="168">
        <v>58354067</v>
      </c>
      <c r="EU41" s="168">
        <v>55835363</v>
      </c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168">
        <v>-77822</v>
      </c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168">
        <v>1284371</v>
      </c>
      <c r="FX41" s="21"/>
      <c r="FY41" s="168">
        <v>-19115</v>
      </c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168">
        <v>2849993</v>
      </c>
      <c r="GN41" s="168">
        <v>-85261</v>
      </c>
      <c r="GO41" s="168">
        <v>2849993</v>
      </c>
      <c r="GP41" s="168">
        <v>-85261</v>
      </c>
      <c r="GQ41" s="21"/>
      <c r="GR41" s="21"/>
      <c r="GS41" s="168">
        <v>2869108</v>
      </c>
      <c r="GT41" s="168">
        <v>-85261</v>
      </c>
      <c r="GU41" s="168">
        <v>155116</v>
      </c>
      <c r="GV41" s="21"/>
      <c r="GW41" s="168">
        <v>77294</v>
      </c>
      <c r="GX41" s="21"/>
      <c r="GY41" s="21"/>
      <c r="GZ41" s="21"/>
      <c r="HA41" s="21"/>
      <c r="HB41" s="21"/>
      <c r="HC41" s="168">
        <v>27999552</v>
      </c>
      <c r="HD41" s="168">
        <v>82237</v>
      </c>
      <c r="HE41" s="21"/>
      <c r="HF41" s="21"/>
      <c r="HG41" s="21"/>
      <c r="HH41" s="21"/>
      <c r="HI41" s="168">
        <v>71</v>
      </c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168">
        <v>1050341</v>
      </c>
      <c r="HV41" s="21"/>
      <c r="HW41" s="21"/>
      <c r="HX41" s="21"/>
      <c r="HY41" s="21"/>
      <c r="HZ41" s="21"/>
      <c r="IA41" s="21"/>
      <c r="IB41" s="21"/>
      <c r="IC41" s="21"/>
      <c r="ID41" s="21"/>
      <c r="IE41" s="168">
        <v>669723</v>
      </c>
      <c r="IF41" s="21"/>
      <c r="IG41" s="21"/>
      <c r="IH41" s="21"/>
      <c r="II41" s="21"/>
      <c r="IJ41" s="21"/>
      <c r="IK41" s="21"/>
      <c r="IL41" s="21"/>
      <c r="IM41" s="168">
        <v>280226</v>
      </c>
      <c r="IN41" s="21"/>
      <c r="IO41" s="21"/>
      <c r="IP41" s="21"/>
      <c r="IQ41" s="21"/>
      <c r="IR41" s="21"/>
      <c r="IS41" s="21"/>
      <c r="IT41" s="21"/>
      <c r="IU41" s="168">
        <v>4212186</v>
      </c>
      <c r="IV41" s="168">
        <v>-85261</v>
      </c>
      <c r="IW41" s="168">
        <v>4408360</v>
      </c>
      <c r="IX41" s="168">
        <v>-82237</v>
      </c>
      <c r="IY41" s="168">
        <v>-196174</v>
      </c>
      <c r="IZ41" s="168">
        <v>-3024</v>
      </c>
      <c r="JA41" s="168">
        <v>536666</v>
      </c>
      <c r="JB41" s="21"/>
      <c r="JC41" s="21"/>
      <c r="JD41" s="21"/>
      <c r="JE41" s="168">
        <v>13030387</v>
      </c>
      <c r="JF41" s="21"/>
      <c r="JG41" s="168">
        <v>44825</v>
      </c>
      <c r="JH41" s="21"/>
      <c r="JI41" s="168">
        <v>42927807</v>
      </c>
      <c r="JJ41" s="168">
        <v>82237</v>
      </c>
      <c r="JK41" s="168">
        <v>243708</v>
      </c>
      <c r="JL41" s="168">
        <v>3024</v>
      </c>
      <c r="JM41" s="168">
        <v>47336167</v>
      </c>
      <c r="JN41" s="21"/>
      <c r="JO41" s="168">
        <v>47534</v>
      </c>
      <c r="JP41" s="21"/>
      <c r="JQ41" s="21"/>
      <c r="JR41" s="21"/>
      <c r="JS41" s="21"/>
      <c r="JT41" s="21"/>
      <c r="JU41" s="21"/>
      <c r="JV41" s="21"/>
      <c r="JW41" s="168">
        <v>46474379</v>
      </c>
      <c r="JX41" s="21"/>
      <c r="JY41" s="21"/>
      <c r="JZ41" s="21"/>
      <c r="KA41" s="168">
        <v>46474379</v>
      </c>
      <c r="KB41" s="21"/>
      <c r="KC41" s="21"/>
      <c r="KD41" s="21"/>
      <c r="KE41" s="21"/>
      <c r="KF41" s="21"/>
      <c r="KG41" s="21"/>
      <c r="KH41" s="21"/>
      <c r="KI41" s="21"/>
      <c r="KJ41" s="21"/>
      <c r="KK41" s="21"/>
      <c r="KL41" s="21"/>
      <c r="KM41" s="21"/>
      <c r="KN41" s="21"/>
      <c r="KO41" s="21"/>
      <c r="KP41" s="21"/>
      <c r="KQ41" s="168">
        <v>804564</v>
      </c>
      <c r="KR41" s="168">
        <v>2416691</v>
      </c>
      <c r="KS41" s="21"/>
      <c r="KT41" s="21"/>
      <c r="KU41" s="21"/>
      <c r="KV41" s="21"/>
      <c r="KW41" s="21"/>
      <c r="KX41" s="21"/>
      <c r="KY41" s="21"/>
      <c r="KZ41" s="21"/>
      <c r="LA41" s="168">
        <v>22612100</v>
      </c>
      <c r="LB41" s="168">
        <v>22612100</v>
      </c>
      <c r="LC41" s="21"/>
      <c r="LD41" s="21"/>
      <c r="LE41" s="21"/>
      <c r="LF41" s="21"/>
      <c r="LG41" s="21"/>
      <c r="LH41" s="21"/>
      <c r="LI41" s="168">
        <v>4748427</v>
      </c>
      <c r="LJ41" s="168">
        <v>3758471</v>
      </c>
      <c r="LK41" s="168">
        <v>7898074</v>
      </c>
      <c r="LL41" s="168">
        <v>7254043</v>
      </c>
      <c r="LM41" s="21"/>
      <c r="LN41" s="21"/>
      <c r="LO41" s="21"/>
      <c r="LP41" s="21"/>
      <c r="LQ41" s="21"/>
      <c r="LR41" s="21"/>
      <c r="LS41" s="21"/>
      <c r="LT41" s="21"/>
      <c r="LU41" s="21"/>
      <c r="LV41" s="21"/>
      <c r="LW41" s="21"/>
      <c r="LX41" s="21"/>
      <c r="LY41" s="21"/>
      <c r="LZ41" s="21"/>
      <c r="MA41" s="21"/>
      <c r="MB41" s="21"/>
      <c r="MC41" s="168">
        <v>11798868</v>
      </c>
      <c r="MD41" s="168">
        <v>13496212</v>
      </c>
      <c r="ME41" s="21"/>
      <c r="MF41" s="21"/>
      <c r="MG41" s="21"/>
      <c r="MH41" s="168">
        <v>29227</v>
      </c>
      <c r="MI41" s="21"/>
      <c r="MJ41" s="21"/>
      <c r="MK41" s="21"/>
      <c r="ML41" s="21"/>
      <c r="MM41" s="21"/>
      <c r="MN41" s="21"/>
      <c r="MO41" s="21"/>
      <c r="MP41" s="21"/>
      <c r="MQ41" s="21"/>
      <c r="MR41" s="21"/>
      <c r="MS41" s="21"/>
      <c r="MT41" s="21"/>
      <c r="MU41" s="21"/>
      <c r="MV41" s="21"/>
      <c r="MW41" s="21"/>
      <c r="MX41" s="21"/>
      <c r="MY41" s="21"/>
      <c r="MZ41" s="21"/>
      <c r="NA41" s="21"/>
      <c r="NB41" s="21"/>
      <c r="NC41" s="168">
        <v>2869108</v>
      </c>
      <c r="ND41" s="168">
        <v>-85261</v>
      </c>
      <c r="NE41" s="21"/>
      <c r="NF41" s="21"/>
      <c r="NG41" s="168">
        <v>25425174</v>
      </c>
      <c r="NH41" s="168">
        <v>22526839</v>
      </c>
      <c r="NI41" s="21"/>
      <c r="NJ41" s="21"/>
      <c r="NK41" s="168">
        <v>146936</v>
      </c>
      <c r="NL41" s="168">
        <v>166051</v>
      </c>
      <c r="NM41" s="168">
        <v>25249933</v>
      </c>
      <c r="NN41" s="168">
        <v>26954644</v>
      </c>
      <c r="NO41" s="168">
        <v>58354067</v>
      </c>
      <c r="NP41" s="168">
        <v>55835363</v>
      </c>
      <c r="NQ41" s="168" t="s">
        <v>895</v>
      </c>
      <c r="NR41" s="168" t="s">
        <v>769</v>
      </c>
      <c r="NS41" s="168" t="s">
        <v>770</v>
      </c>
      <c r="NT41" s="168" t="s">
        <v>771</v>
      </c>
      <c r="NU41" s="168">
        <v>7501</v>
      </c>
      <c r="NV41" s="168" t="s">
        <v>2104</v>
      </c>
      <c r="NW41" s="168" t="s">
        <v>28</v>
      </c>
      <c r="NX41" s="168" t="s">
        <v>25</v>
      </c>
      <c r="NY41" s="169">
        <v>42916</v>
      </c>
      <c r="NZ41" s="169">
        <v>42551</v>
      </c>
      <c r="OA41" s="169">
        <v>43088</v>
      </c>
      <c r="OB41" s="168" t="s">
        <v>1538</v>
      </c>
      <c r="OC41" s="168">
        <v>12</v>
      </c>
      <c r="OD41" s="168" t="s">
        <v>2105</v>
      </c>
      <c r="OE41" s="168" t="s">
        <v>2617</v>
      </c>
      <c r="OF41" s="168" t="s">
        <v>2618</v>
      </c>
      <c r="OG41" s="168" t="s">
        <v>2074</v>
      </c>
      <c r="OH41" s="168" t="s">
        <v>765</v>
      </c>
      <c r="OI41" s="168" t="s">
        <v>766</v>
      </c>
      <c r="OJ41" s="168" t="s">
        <v>3240</v>
      </c>
      <c r="OK41" s="168" t="s">
        <v>767</v>
      </c>
    </row>
    <row r="42" spans="1:401" x14ac:dyDescent="0.2">
      <c r="A42" s="170" t="str">
        <f>Liste[[#This Row],[Siren]]</f>
        <v>323181057</v>
      </c>
      <c r="B42" s="198" t="str">
        <f>Liste[[#This Row],[Dénomination]]&amp;" - comptes "&amp;YEAR(Liste[[#This Row],[Date de cloture de l''exercice]])</f>
        <v>TRANSPORTS PREVOST - comptes 2017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168">
        <v>8157000</v>
      </c>
      <c r="BE42" s="168">
        <v>5868000</v>
      </c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168">
        <v>983000</v>
      </c>
      <c r="BY42" s="168">
        <v>1626000</v>
      </c>
      <c r="BZ42" s="21"/>
      <c r="CA42" s="21"/>
      <c r="CB42" s="21"/>
      <c r="CC42" s="21"/>
      <c r="CD42" s="21"/>
      <c r="CE42" s="168">
        <v>1388000</v>
      </c>
      <c r="CF42" s="168">
        <v>1535000</v>
      </c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168">
        <v>17375000</v>
      </c>
      <c r="EM42" s="168">
        <v>18836000</v>
      </c>
      <c r="EN42" s="21"/>
      <c r="EO42" s="21"/>
      <c r="EP42" s="168">
        <v>13354000</v>
      </c>
      <c r="EQ42" s="168">
        <v>9885000</v>
      </c>
      <c r="ER42" s="21"/>
      <c r="ES42" s="21"/>
      <c r="ET42" s="168">
        <v>30729000</v>
      </c>
      <c r="EU42" s="168">
        <v>28721000</v>
      </c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168">
        <v>939000</v>
      </c>
      <c r="FJ42" s="168">
        <v>28000</v>
      </c>
      <c r="FK42" s="21"/>
      <c r="FL42" s="21"/>
      <c r="FM42" s="21"/>
      <c r="FN42" s="21"/>
      <c r="FO42" s="21"/>
      <c r="FP42" s="21"/>
      <c r="FQ42" s="168">
        <v>-147000</v>
      </c>
      <c r="FR42" s="168">
        <v>-147000</v>
      </c>
      <c r="FS42" s="21"/>
      <c r="FT42" s="21"/>
      <c r="FU42" s="21"/>
      <c r="FV42" s="21"/>
      <c r="FW42" s="168">
        <v>85000</v>
      </c>
      <c r="FX42" s="168">
        <v>-145000</v>
      </c>
      <c r="FY42" s="168">
        <v>-37000</v>
      </c>
      <c r="FZ42" s="168">
        <v>-1000</v>
      </c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168">
        <v>154000</v>
      </c>
      <c r="GN42" s="168">
        <v>602000</v>
      </c>
      <c r="GO42" s="168">
        <v>301000</v>
      </c>
      <c r="GP42" s="168">
        <v>749000</v>
      </c>
      <c r="GQ42" s="21"/>
      <c r="GR42" s="21"/>
      <c r="GS42" s="168">
        <v>117000</v>
      </c>
      <c r="GT42" s="168">
        <v>601000</v>
      </c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168">
        <v>2000</v>
      </c>
      <c r="HF42" s="168">
        <v>2000</v>
      </c>
      <c r="HG42" s="21"/>
      <c r="HH42" s="21"/>
      <c r="HI42" s="168">
        <v>103000</v>
      </c>
      <c r="HJ42" s="168">
        <v>90000</v>
      </c>
      <c r="HK42" s="21"/>
      <c r="HL42" s="21"/>
      <c r="HM42" s="21"/>
      <c r="HN42" s="21"/>
      <c r="HO42" s="168">
        <v>12575000</v>
      </c>
      <c r="HP42" s="168">
        <v>11743000</v>
      </c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  <c r="IC42" s="21"/>
      <c r="ID42" s="21"/>
      <c r="IE42" s="168">
        <v>1085000</v>
      </c>
      <c r="IF42" s="168">
        <v>1112000</v>
      </c>
      <c r="IG42" s="21"/>
      <c r="IH42" s="21"/>
      <c r="II42" s="21"/>
      <c r="IJ42" s="21"/>
      <c r="IK42" s="21"/>
      <c r="IL42" s="21"/>
      <c r="IM42" s="21"/>
      <c r="IN42" s="21"/>
      <c r="IO42" s="21"/>
      <c r="IP42" s="21"/>
      <c r="IQ42" s="21"/>
      <c r="IR42" s="21"/>
      <c r="IS42" s="21"/>
      <c r="IT42" s="21"/>
      <c r="IU42" s="168">
        <v>-723000</v>
      </c>
      <c r="IV42" s="168">
        <v>866000</v>
      </c>
      <c r="IW42" s="168">
        <v>-528000</v>
      </c>
      <c r="IX42" s="168">
        <v>1148000</v>
      </c>
      <c r="IY42" s="168">
        <v>-195000</v>
      </c>
      <c r="IZ42" s="168">
        <v>-282000</v>
      </c>
      <c r="JA42" s="21"/>
      <c r="JB42" s="21"/>
      <c r="JC42" s="21"/>
      <c r="JD42" s="21"/>
      <c r="JE42" s="21"/>
      <c r="JF42" s="21"/>
      <c r="JG42" s="21"/>
      <c r="JH42" s="21"/>
      <c r="JI42" s="168">
        <v>42446000</v>
      </c>
      <c r="JJ42" s="168">
        <v>37294000</v>
      </c>
      <c r="JK42" s="21"/>
      <c r="JL42" s="21"/>
      <c r="JM42" s="168">
        <v>41918000</v>
      </c>
      <c r="JN42" s="168">
        <v>38442000</v>
      </c>
      <c r="JO42" s="21"/>
      <c r="JP42" s="21"/>
      <c r="JQ42" s="21"/>
      <c r="JR42" s="21"/>
      <c r="JS42" s="21"/>
      <c r="JT42" s="21"/>
      <c r="JU42" s="21"/>
      <c r="JV42" s="21"/>
      <c r="JW42" s="168">
        <v>41815000</v>
      </c>
      <c r="JX42" s="168">
        <v>38352000</v>
      </c>
      <c r="JY42" s="21"/>
      <c r="JZ42" s="21"/>
      <c r="KA42" s="21"/>
      <c r="KB42" s="21"/>
      <c r="KC42" s="21"/>
      <c r="KD42" s="21"/>
      <c r="KE42" s="21"/>
      <c r="KF42" s="21"/>
      <c r="KG42" s="21"/>
      <c r="KH42" s="21"/>
      <c r="KI42" s="21"/>
      <c r="KJ42" s="21"/>
      <c r="KK42" s="21"/>
      <c r="KL42" s="21"/>
      <c r="KM42" s="21"/>
      <c r="KN42" s="21"/>
      <c r="KO42" s="21"/>
      <c r="KP42" s="21"/>
      <c r="KQ42" s="21"/>
      <c r="KR42" s="21"/>
      <c r="KS42" s="21"/>
      <c r="KT42" s="21"/>
      <c r="KU42" s="21"/>
      <c r="KV42" s="21"/>
      <c r="KW42" s="21"/>
      <c r="KX42" s="21"/>
      <c r="KY42" s="21"/>
      <c r="KZ42" s="21"/>
      <c r="LA42" s="168">
        <v>3201000</v>
      </c>
      <c r="LB42" s="168">
        <v>3201000</v>
      </c>
      <c r="LC42" s="21"/>
      <c r="LD42" s="21"/>
      <c r="LE42" s="21"/>
      <c r="LF42" s="21"/>
      <c r="LG42" s="21"/>
      <c r="LH42" s="21"/>
      <c r="LI42" s="168">
        <v>5428000</v>
      </c>
      <c r="LJ42" s="168">
        <v>3603000</v>
      </c>
      <c r="LK42" s="168">
        <v>5474000</v>
      </c>
      <c r="LL42" s="168">
        <v>4371000</v>
      </c>
      <c r="LM42" s="21"/>
      <c r="LN42" s="21"/>
      <c r="LO42" s="21"/>
      <c r="LP42" s="21"/>
      <c r="LQ42" s="21"/>
      <c r="LR42" s="21"/>
      <c r="LS42" s="21"/>
      <c r="LT42" s="21"/>
      <c r="LU42" s="21"/>
      <c r="LV42" s="21"/>
      <c r="LW42" s="21"/>
      <c r="LX42" s="21"/>
      <c r="LY42" s="21"/>
      <c r="LZ42" s="21"/>
      <c r="MA42" s="21"/>
      <c r="MB42" s="21"/>
      <c r="MC42" s="168">
        <v>11927000</v>
      </c>
      <c r="MD42" s="168">
        <v>13514000</v>
      </c>
      <c r="ME42" s="21"/>
      <c r="MF42" s="21"/>
      <c r="MG42" s="21"/>
      <c r="MH42" s="21"/>
      <c r="MI42" s="168">
        <v>576000</v>
      </c>
      <c r="MJ42" s="168">
        <v>576000</v>
      </c>
      <c r="MK42" s="21"/>
      <c r="ML42" s="21"/>
      <c r="MM42" s="21"/>
      <c r="MN42" s="21"/>
      <c r="MO42" s="21"/>
      <c r="MP42" s="21"/>
      <c r="MQ42" s="21"/>
      <c r="MR42" s="21"/>
      <c r="MS42" s="21"/>
      <c r="MT42" s="21"/>
      <c r="MU42" s="21"/>
      <c r="MV42" s="21"/>
      <c r="MW42" s="21"/>
      <c r="MX42" s="21"/>
      <c r="MY42" s="21"/>
      <c r="MZ42" s="21"/>
      <c r="NA42" s="21"/>
      <c r="NB42" s="21"/>
      <c r="NC42" s="168">
        <v>117000</v>
      </c>
      <c r="ND42" s="168">
        <v>600000</v>
      </c>
      <c r="NE42" s="21"/>
      <c r="NF42" s="21"/>
      <c r="NG42" s="168">
        <v>6508000</v>
      </c>
      <c r="NH42" s="168">
        <v>6391000</v>
      </c>
      <c r="NI42" s="21"/>
      <c r="NJ42" s="21"/>
      <c r="NK42" s="168">
        <v>83000</v>
      </c>
      <c r="NL42" s="21"/>
      <c r="NM42" s="168">
        <v>23673000</v>
      </c>
      <c r="NN42" s="168">
        <v>21923000</v>
      </c>
      <c r="NO42" s="168">
        <v>30729000</v>
      </c>
      <c r="NP42" s="168">
        <v>28721000</v>
      </c>
      <c r="NQ42" s="168" t="s">
        <v>1337</v>
      </c>
      <c r="NR42" s="168" t="s">
        <v>915</v>
      </c>
      <c r="NS42" s="168" t="s">
        <v>770</v>
      </c>
      <c r="NT42" s="168" t="s">
        <v>771</v>
      </c>
      <c r="NU42" s="168">
        <v>9301</v>
      </c>
      <c r="NV42" s="168" t="s">
        <v>2104</v>
      </c>
      <c r="NW42" s="168" t="s">
        <v>28</v>
      </c>
      <c r="NX42" s="168" t="s">
        <v>25</v>
      </c>
      <c r="NY42" s="169">
        <v>42916</v>
      </c>
      <c r="NZ42" s="169">
        <v>42551</v>
      </c>
      <c r="OA42" s="169">
        <v>43109</v>
      </c>
      <c r="OB42" s="168" t="s">
        <v>1338</v>
      </c>
      <c r="OC42" s="168">
        <v>12</v>
      </c>
      <c r="OD42" s="168" t="s">
        <v>2105</v>
      </c>
      <c r="OE42" s="168" t="s">
        <v>2184</v>
      </c>
      <c r="OF42" s="168" t="s">
        <v>2474</v>
      </c>
      <c r="OG42" s="168" t="s">
        <v>1976</v>
      </c>
      <c r="OH42" s="168" t="s">
        <v>785</v>
      </c>
      <c r="OI42" s="168" t="s">
        <v>766</v>
      </c>
      <c r="OJ42" s="168" t="s">
        <v>3240</v>
      </c>
      <c r="OK42" s="168" t="s">
        <v>914</v>
      </c>
    </row>
    <row r="43" spans="1:401" x14ac:dyDescent="0.2">
      <c r="A43" s="170" t="str">
        <f>Liste[[#This Row],[Siren]]</f>
        <v>444653794</v>
      </c>
      <c r="B43" s="198" t="str">
        <f>Liste[[#This Row],[Dénomination]]&amp;" - comptes "&amp;YEAR(Liste[[#This Row],[Date de cloture de l''exercice]])</f>
        <v>NEFTYS.PHARMA - comptes 2017</v>
      </c>
      <c r="C43" s="21"/>
      <c r="D43" s="21"/>
      <c r="E43" s="21"/>
      <c r="F43" s="168">
        <v>8290000</v>
      </c>
      <c r="G43" s="168">
        <v>7902000</v>
      </c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168">
        <v>28835000</v>
      </c>
      <c r="BE43" s="168">
        <v>23140000</v>
      </c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168">
        <v>2497000</v>
      </c>
      <c r="BY43" s="168">
        <v>1859000</v>
      </c>
      <c r="BZ43" s="21"/>
      <c r="CA43" s="21"/>
      <c r="CB43" s="21"/>
      <c r="CC43" s="21"/>
      <c r="CD43" s="21"/>
      <c r="CE43" s="168">
        <v>4678000</v>
      </c>
      <c r="CF43" s="168">
        <v>5337000</v>
      </c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168">
        <v>7176000</v>
      </c>
      <c r="EM43" s="168">
        <v>7675000</v>
      </c>
      <c r="EN43" s="21"/>
      <c r="EO43" s="21"/>
      <c r="EP43" s="168">
        <v>58155000</v>
      </c>
      <c r="EQ43" s="168">
        <v>51226000</v>
      </c>
      <c r="ER43" s="21"/>
      <c r="ES43" s="21"/>
      <c r="ET43" s="168">
        <v>65331000</v>
      </c>
      <c r="EU43" s="168">
        <v>58901000</v>
      </c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168">
        <v>28</v>
      </c>
      <c r="FJ43" s="168">
        <v>46</v>
      </c>
      <c r="FK43" s="21"/>
      <c r="FL43" s="21"/>
      <c r="FM43" s="21"/>
      <c r="FN43" s="21"/>
      <c r="FO43" s="21"/>
      <c r="FP43" s="21"/>
      <c r="FQ43" s="168">
        <v>-1037</v>
      </c>
      <c r="FR43" s="168">
        <v>-1037</v>
      </c>
      <c r="FS43" s="21"/>
      <c r="FT43" s="21"/>
      <c r="FU43" s="21"/>
      <c r="FV43" s="21"/>
      <c r="FW43" s="168">
        <v>-3973</v>
      </c>
      <c r="FX43" s="168">
        <v>-2508</v>
      </c>
      <c r="FY43" s="168">
        <v>8</v>
      </c>
      <c r="FZ43" s="168">
        <v>8</v>
      </c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168">
        <v>6507</v>
      </c>
      <c r="GN43" s="168">
        <v>3817</v>
      </c>
      <c r="GO43" s="168">
        <v>7544</v>
      </c>
      <c r="GP43" s="168">
        <v>4854</v>
      </c>
      <c r="GQ43" s="21"/>
      <c r="GR43" s="21"/>
      <c r="GS43" s="168">
        <v>6499</v>
      </c>
      <c r="GT43" s="168">
        <v>3809</v>
      </c>
      <c r="GU43" s="168">
        <v>5</v>
      </c>
      <c r="GV43" s="168">
        <v>68</v>
      </c>
      <c r="GW43" s="168">
        <v>32</v>
      </c>
      <c r="GX43" s="168">
        <v>114</v>
      </c>
      <c r="GY43" s="21"/>
      <c r="GZ43" s="21"/>
      <c r="HA43" s="21"/>
      <c r="HB43" s="21"/>
      <c r="HC43" s="168">
        <v>10082</v>
      </c>
      <c r="HD43" s="168">
        <v>9417</v>
      </c>
      <c r="HE43" s="21"/>
      <c r="HF43" s="21"/>
      <c r="HG43" s="21"/>
      <c r="HH43" s="21"/>
      <c r="HI43" s="168">
        <v>354</v>
      </c>
      <c r="HJ43" s="168">
        <v>523</v>
      </c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168">
        <v>683</v>
      </c>
      <c r="IF43" s="168">
        <v>614</v>
      </c>
      <c r="IG43" s="21"/>
      <c r="IH43" s="21"/>
      <c r="II43" s="21"/>
      <c r="IJ43" s="21"/>
      <c r="IK43" s="21"/>
      <c r="IL43" s="21"/>
      <c r="IM43" s="21"/>
      <c r="IN43" s="21"/>
      <c r="IO43" s="21"/>
      <c r="IP43" s="21"/>
      <c r="IQ43" s="21"/>
      <c r="IR43" s="21"/>
      <c r="IS43" s="21"/>
      <c r="IT43" s="21"/>
      <c r="IU43" s="168">
        <v>11489</v>
      </c>
      <c r="IV43" s="168">
        <v>7316</v>
      </c>
      <c r="IW43" s="168">
        <v>11794</v>
      </c>
      <c r="IX43" s="168">
        <v>7636</v>
      </c>
      <c r="IY43" s="168">
        <v>-305</v>
      </c>
      <c r="IZ43" s="168">
        <v>-320</v>
      </c>
      <c r="JA43" s="21"/>
      <c r="JB43" s="21"/>
      <c r="JC43" s="21"/>
      <c r="JD43" s="21"/>
      <c r="JE43" s="21"/>
      <c r="JF43" s="21"/>
      <c r="JG43" s="21"/>
      <c r="JH43" s="21"/>
      <c r="JI43" s="168">
        <v>191042</v>
      </c>
      <c r="JJ43" s="168">
        <v>164727</v>
      </c>
      <c r="JK43" s="168">
        <v>318</v>
      </c>
      <c r="JL43" s="168">
        <v>346</v>
      </c>
      <c r="JM43" s="168">
        <v>202836</v>
      </c>
      <c r="JN43" s="168">
        <v>172363</v>
      </c>
      <c r="JO43" s="168">
        <v>13</v>
      </c>
      <c r="JP43" s="168">
        <v>26</v>
      </c>
      <c r="JQ43" s="21"/>
      <c r="JR43" s="21"/>
      <c r="JS43" s="21"/>
      <c r="JT43" s="21"/>
      <c r="JU43" s="21"/>
      <c r="JV43" s="21"/>
      <c r="JW43" s="168">
        <v>202482</v>
      </c>
      <c r="JX43" s="168">
        <v>171840</v>
      </c>
      <c r="JY43" s="21"/>
      <c r="JZ43" s="21"/>
      <c r="KA43" s="21"/>
      <c r="KB43" s="21"/>
      <c r="KC43" s="21"/>
      <c r="KD43" s="21"/>
      <c r="KE43" s="21"/>
      <c r="KF43" s="21"/>
      <c r="KG43" s="21"/>
      <c r="KH43" s="21"/>
      <c r="KI43" s="21"/>
      <c r="KJ43" s="21"/>
      <c r="KK43" s="21"/>
      <c r="KL43" s="21"/>
      <c r="KM43" s="21"/>
      <c r="KN43" s="21"/>
      <c r="KO43" s="21"/>
      <c r="KP43" s="21"/>
      <c r="KQ43" s="21"/>
      <c r="KR43" s="21"/>
      <c r="KS43" s="21"/>
      <c r="KT43" s="21"/>
      <c r="KU43" s="21"/>
      <c r="KV43" s="21"/>
      <c r="KW43" s="21"/>
      <c r="KX43" s="21"/>
      <c r="KY43" s="21"/>
      <c r="KZ43" s="21"/>
      <c r="LA43" s="168">
        <v>3014</v>
      </c>
      <c r="LB43" s="168">
        <v>3014</v>
      </c>
      <c r="LC43" s="21"/>
      <c r="LD43" s="21"/>
      <c r="LE43" s="21"/>
      <c r="LF43" s="21"/>
      <c r="LG43" s="21"/>
      <c r="LH43" s="21"/>
      <c r="LI43" s="21"/>
      <c r="LJ43" s="21"/>
      <c r="LK43" s="168">
        <v>17388</v>
      </c>
      <c r="LL43" s="168">
        <v>16619</v>
      </c>
      <c r="LM43" s="21"/>
      <c r="LN43" s="21"/>
      <c r="LO43" s="21"/>
      <c r="LP43" s="21"/>
      <c r="LQ43" s="21"/>
      <c r="LR43" s="21"/>
      <c r="LS43" s="21"/>
      <c r="LT43" s="21"/>
      <c r="LU43" s="21"/>
      <c r="LV43" s="21"/>
      <c r="LW43" s="21"/>
      <c r="LX43" s="21"/>
      <c r="LY43" s="21"/>
      <c r="LZ43" s="21"/>
      <c r="MA43" s="21"/>
      <c r="MB43" s="21"/>
      <c r="MC43" s="168">
        <v>15841</v>
      </c>
      <c r="MD43" s="168">
        <v>17137</v>
      </c>
      <c r="ME43" s="21"/>
      <c r="MF43" s="21"/>
      <c r="MG43" s="21"/>
      <c r="MH43" s="21"/>
      <c r="MI43" s="21"/>
      <c r="MJ43" s="21"/>
      <c r="MK43" s="21"/>
      <c r="ML43" s="21"/>
      <c r="MM43" s="21"/>
      <c r="MN43" s="21"/>
      <c r="MO43" s="21"/>
      <c r="MP43" s="21"/>
      <c r="MQ43" s="21"/>
      <c r="MR43" s="21"/>
      <c r="MS43" s="21"/>
      <c r="MT43" s="21"/>
      <c r="MU43" s="21"/>
      <c r="MV43" s="21"/>
      <c r="MW43" s="21"/>
      <c r="MX43" s="21"/>
      <c r="MY43" s="21"/>
      <c r="MZ43" s="21"/>
      <c r="NA43" s="21"/>
      <c r="NB43" s="21"/>
      <c r="NC43" s="168">
        <v>6499</v>
      </c>
      <c r="ND43" s="168">
        <v>3809</v>
      </c>
      <c r="NE43" s="21"/>
      <c r="NF43" s="21"/>
      <c r="NG43" s="168">
        <v>22322</v>
      </c>
      <c r="NH43" s="168">
        <v>18823</v>
      </c>
      <c r="NI43" s="21"/>
      <c r="NJ43" s="21"/>
      <c r="NK43" s="168">
        <v>-32</v>
      </c>
      <c r="NL43" s="168">
        <v>11</v>
      </c>
      <c r="NM43" s="168">
        <v>42722</v>
      </c>
      <c r="NN43" s="168">
        <v>39778</v>
      </c>
      <c r="NO43" s="168">
        <v>65331</v>
      </c>
      <c r="NP43" s="168">
        <v>58901</v>
      </c>
      <c r="NQ43" s="168" t="s">
        <v>1149</v>
      </c>
      <c r="NR43" s="168" t="s">
        <v>769</v>
      </c>
      <c r="NS43" s="168" t="s">
        <v>770</v>
      </c>
      <c r="NT43" s="168" t="s">
        <v>771</v>
      </c>
      <c r="NU43" s="168">
        <v>6901</v>
      </c>
      <c r="NV43" s="168" t="s">
        <v>2104</v>
      </c>
      <c r="NW43" s="168" t="s">
        <v>28</v>
      </c>
      <c r="NX43" s="168" t="s">
        <v>25</v>
      </c>
      <c r="NY43" s="169">
        <v>42916</v>
      </c>
      <c r="NZ43" s="169">
        <v>42551</v>
      </c>
      <c r="OA43" s="169">
        <v>43124</v>
      </c>
      <c r="OB43" s="168" t="s">
        <v>1194</v>
      </c>
      <c r="OC43" s="168">
        <v>12</v>
      </c>
      <c r="OD43" s="168" t="s">
        <v>2106</v>
      </c>
      <c r="OE43" s="168" t="s">
        <v>3319</v>
      </c>
      <c r="OF43" s="168" t="s">
        <v>2361</v>
      </c>
      <c r="OG43" s="168" t="s">
        <v>1917</v>
      </c>
      <c r="OH43" s="168" t="s">
        <v>819</v>
      </c>
      <c r="OI43" s="168" t="s">
        <v>766</v>
      </c>
      <c r="OJ43" s="168" t="s">
        <v>3240</v>
      </c>
      <c r="OK43" s="168" t="s">
        <v>767</v>
      </c>
    </row>
    <row r="44" spans="1:401" x14ac:dyDescent="0.2">
      <c r="A44" s="170" t="str">
        <f>Liste[[#This Row],[Siren]]</f>
        <v>302768296</v>
      </c>
      <c r="B44" s="198" t="str">
        <f>Liste[[#This Row],[Dénomination]]&amp;" - comptes "&amp;YEAR(Liste[[#This Row],[Date de cloture de l''exercice]])</f>
        <v>SCA DE LA REGION D ARCIS SUR AUBE - comptes 2017</v>
      </c>
      <c r="C44" s="21"/>
      <c r="D44" s="21"/>
      <c r="E44" s="168">
        <v>833190</v>
      </c>
      <c r="F44" s="168">
        <v>7350696</v>
      </c>
      <c r="G44" s="168">
        <v>7068780</v>
      </c>
      <c r="H44" s="168">
        <v>8183886</v>
      </c>
      <c r="I44" s="168">
        <v>1667228</v>
      </c>
      <c r="J44" s="168">
        <v>326245</v>
      </c>
      <c r="K44" s="168">
        <v>455608</v>
      </c>
      <c r="L44" s="168">
        <v>1993473</v>
      </c>
      <c r="M44" s="21"/>
      <c r="N44" s="168">
        <v>211898</v>
      </c>
      <c r="O44" s="168">
        <v>176093</v>
      </c>
      <c r="P44" s="168">
        <v>211898</v>
      </c>
      <c r="Q44" s="168">
        <v>257471</v>
      </c>
      <c r="R44" s="168">
        <v>3312</v>
      </c>
      <c r="S44" s="168">
        <v>8130</v>
      </c>
      <c r="T44" s="168">
        <v>260783</v>
      </c>
      <c r="U44" s="21"/>
      <c r="V44" s="21"/>
      <c r="W44" s="21"/>
      <c r="X44" s="21"/>
      <c r="Y44" s="168">
        <v>4573</v>
      </c>
      <c r="Z44" s="168">
        <v>3340317</v>
      </c>
      <c r="AA44" s="168">
        <v>2918381</v>
      </c>
      <c r="AB44" s="168">
        <v>3344890</v>
      </c>
      <c r="AC44" s="21"/>
      <c r="AD44" s="168">
        <v>5900</v>
      </c>
      <c r="AE44" s="168">
        <v>18000</v>
      </c>
      <c r="AF44" s="168">
        <v>5900</v>
      </c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168">
        <v>465855</v>
      </c>
      <c r="BA44" s="168">
        <v>68845</v>
      </c>
      <c r="BB44" s="168">
        <v>465855</v>
      </c>
      <c r="BC44" s="168">
        <v>178786</v>
      </c>
      <c r="BD44" s="168">
        <v>5342498</v>
      </c>
      <c r="BE44" s="168">
        <v>9232312</v>
      </c>
      <c r="BF44" s="168">
        <v>5521284</v>
      </c>
      <c r="BG44" s="21"/>
      <c r="BH44" s="21"/>
      <c r="BI44" s="21"/>
      <c r="BJ44" s="21"/>
      <c r="BK44" s="168">
        <v>26775287</v>
      </c>
      <c r="BL44" s="168">
        <v>1536485</v>
      </c>
      <c r="BM44" s="168">
        <v>1672481</v>
      </c>
      <c r="BN44" s="168">
        <v>28311772</v>
      </c>
      <c r="BO44" s="21"/>
      <c r="BP44" s="168">
        <v>242462</v>
      </c>
      <c r="BQ44" s="168">
        <v>545735</v>
      </c>
      <c r="BR44" s="168">
        <v>242462</v>
      </c>
      <c r="BS44" s="21"/>
      <c r="BT44" s="21"/>
      <c r="BU44" s="21"/>
      <c r="BV44" s="21"/>
      <c r="BW44" s="21"/>
      <c r="BX44" s="168">
        <v>8958034</v>
      </c>
      <c r="BY44" s="168">
        <v>2295130</v>
      </c>
      <c r="BZ44" s="168">
        <v>8958034</v>
      </c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168">
        <v>2026038</v>
      </c>
      <c r="DD44" s="168">
        <v>508390</v>
      </c>
      <c r="DE44" s="168">
        <v>2026038</v>
      </c>
      <c r="DF44" s="168">
        <v>9402847</v>
      </c>
      <c r="DG44" s="168">
        <v>1061629</v>
      </c>
      <c r="DH44" s="168">
        <v>1183460</v>
      </c>
      <c r="DI44" s="168">
        <v>10464476</v>
      </c>
      <c r="DJ44" s="168">
        <v>65612</v>
      </c>
      <c r="DK44" s="168">
        <v>7684719</v>
      </c>
      <c r="DL44" s="168">
        <v>12697572</v>
      </c>
      <c r="DM44" s="168">
        <v>7750331</v>
      </c>
      <c r="DN44" s="21"/>
      <c r="DO44" s="168">
        <v>18424</v>
      </c>
      <c r="DP44" s="168">
        <v>18656</v>
      </c>
      <c r="DQ44" s="168">
        <v>18424</v>
      </c>
      <c r="DR44" s="21"/>
      <c r="DS44" s="168">
        <v>9183456</v>
      </c>
      <c r="DT44" s="168">
        <v>916463</v>
      </c>
      <c r="DU44" s="168">
        <v>9183456</v>
      </c>
      <c r="DV44" s="168">
        <v>91140</v>
      </c>
      <c r="DW44" s="168">
        <v>39355</v>
      </c>
      <c r="DX44" s="168">
        <v>50378</v>
      </c>
      <c r="DY44" s="168">
        <v>130495</v>
      </c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168">
        <v>39136262</v>
      </c>
      <c r="EL44" s="168">
        <v>28333725</v>
      </c>
      <c r="EM44" s="168">
        <v>27064242</v>
      </c>
      <c r="EN44" s="168">
        <v>67469987</v>
      </c>
      <c r="EO44" s="168">
        <v>1077588</v>
      </c>
      <c r="EP44" s="168">
        <v>47830677</v>
      </c>
      <c r="EQ44" s="168">
        <v>49391746</v>
      </c>
      <c r="ER44" s="168">
        <v>48908265</v>
      </c>
      <c r="ES44" s="168">
        <v>40213850</v>
      </c>
      <c r="ET44" s="168">
        <v>76164402</v>
      </c>
      <c r="EU44" s="168">
        <v>76455988</v>
      </c>
      <c r="EV44" s="168">
        <v>116378252</v>
      </c>
      <c r="EW44" s="21"/>
      <c r="EX44" s="168">
        <v>572385</v>
      </c>
      <c r="EY44" s="168">
        <v>572385</v>
      </c>
      <c r="EZ44" s="168">
        <v>572385</v>
      </c>
      <c r="FA44" s="21"/>
      <c r="FB44" s="21"/>
      <c r="FC44" s="21"/>
      <c r="FD44" s="21"/>
      <c r="FE44" s="21"/>
      <c r="FF44" s="168">
        <v>18010451</v>
      </c>
      <c r="FG44" s="168">
        <v>18010451</v>
      </c>
      <c r="FH44" s="168">
        <v>18010451</v>
      </c>
      <c r="FI44" s="168">
        <v>-21920</v>
      </c>
      <c r="FJ44" s="168">
        <v>-407464</v>
      </c>
      <c r="FK44" s="21"/>
      <c r="FL44" s="21"/>
      <c r="FM44" s="21"/>
      <c r="FN44" s="168">
        <v>453</v>
      </c>
      <c r="FO44" s="168">
        <v>830325</v>
      </c>
      <c r="FP44" s="168">
        <v>883659</v>
      </c>
      <c r="FQ44" s="21"/>
      <c r="FR44" s="21"/>
      <c r="FS44" s="168">
        <v>400000</v>
      </c>
      <c r="FT44" s="168">
        <v>561000</v>
      </c>
      <c r="FU44" s="21"/>
      <c r="FV44" s="21"/>
      <c r="FW44" s="168">
        <v>34295</v>
      </c>
      <c r="FX44" s="168">
        <v>20138</v>
      </c>
      <c r="FY44" s="168">
        <v>11977</v>
      </c>
      <c r="FZ44" s="168">
        <v>10441</v>
      </c>
      <c r="GA44" s="168">
        <v>43045</v>
      </c>
      <c r="GB44" s="168">
        <v>75000</v>
      </c>
      <c r="GC44" s="168">
        <v>6194</v>
      </c>
      <c r="GD44" s="21"/>
      <c r="GE44" s="168">
        <v>170943</v>
      </c>
      <c r="GF44" s="168">
        <v>9483</v>
      </c>
      <c r="GG44" s="21"/>
      <c r="GH44" s="21"/>
      <c r="GI44" s="21"/>
      <c r="GJ44" s="21"/>
      <c r="GK44" s="168">
        <v>1031268</v>
      </c>
      <c r="GL44" s="168">
        <v>1028165</v>
      </c>
      <c r="GM44" s="168">
        <v>1939295</v>
      </c>
      <c r="GN44" s="168">
        <v>1261521</v>
      </c>
      <c r="GO44" s="168">
        <v>1742079</v>
      </c>
      <c r="GP44" s="168">
        <v>1123728</v>
      </c>
      <c r="GQ44" s="168">
        <v>197216</v>
      </c>
      <c r="GR44" s="168">
        <v>137792</v>
      </c>
      <c r="GS44" s="168">
        <v>1927318</v>
      </c>
      <c r="GT44" s="168">
        <v>1251080</v>
      </c>
      <c r="GU44" s="168">
        <v>1230325</v>
      </c>
      <c r="GV44" s="168">
        <v>1445112</v>
      </c>
      <c r="GW44" s="168">
        <v>1208405</v>
      </c>
      <c r="GX44" s="168">
        <v>1037648</v>
      </c>
      <c r="GY44" s="168">
        <v>47038277</v>
      </c>
      <c r="GZ44" s="168">
        <v>65116836</v>
      </c>
      <c r="HA44" s="168">
        <v>101632</v>
      </c>
      <c r="HB44" s="168">
        <v>109703</v>
      </c>
      <c r="HC44" s="168">
        <v>3053004</v>
      </c>
      <c r="HD44" s="168">
        <v>3547422</v>
      </c>
      <c r="HE44" s="168">
        <v>119810</v>
      </c>
      <c r="HF44" s="168">
        <v>119024</v>
      </c>
      <c r="HG44" s="168">
        <v>302749</v>
      </c>
      <c r="HH44" s="168">
        <v>382320</v>
      </c>
      <c r="HI44" s="168">
        <v>58536</v>
      </c>
      <c r="HJ44" s="168">
        <v>65672</v>
      </c>
      <c r="HK44" s="21"/>
      <c r="HL44" s="21"/>
      <c r="HM44" s="21"/>
      <c r="HN44" s="21"/>
      <c r="HO44" s="168">
        <v>1090020</v>
      </c>
      <c r="HP44" s="168">
        <v>1055046</v>
      </c>
      <c r="HQ44" s="21"/>
      <c r="HR44" s="21"/>
      <c r="HS44" s="21"/>
      <c r="HT44" s="21"/>
      <c r="HU44" s="168">
        <v>714106</v>
      </c>
      <c r="HV44" s="168">
        <v>701195</v>
      </c>
      <c r="HW44" s="21"/>
      <c r="HX44" s="21"/>
      <c r="HY44" s="168">
        <v>61138</v>
      </c>
      <c r="HZ44" s="168">
        <v>1143728</v>
      </c>
      <c r="IA44" s="168">
        <v>526406</v>
      </c>
      <c r="IB44" s="168">
        <v>534693</v>
      </c>
      <c r="IC44" s="168">
        <v>1273349</v>
      </c>
      <c r="ID44" s="168">
        <v>481279</v>
      </c>
      <c r="IE44" s="168">
        <v>655248</v>
      </c>
      <c r="IF44" s="168">
        <v>650360</v>
      </c>
      <c r="IG44" s="168">
        <v>353382</v>
      </c>
      <c r="IH44" s="168">
        <v>368073</v>
      </c>
      <c r="II44" s="21"/>
      <c r="IJ44" s="21"/>
      <c r="IK44" s="21"/>
      <c r="IL44" s="21"/>
      <c r="IM44" s="21"/>
      <c r="IN44" s="21"/>
      <c r="IO44" s="168">
        <v>1201</v>
      </c>
      <c r="IP44" s="168">
        <v>546</v>
      </c>
      <c r="IQ44" s="168">
        <v>498043</v>
      </c>
      <c r="IR44" s="168">
        <v>565890</v>
      </c>
      <c r="IS44" s="21"/>
      <c r="IT44" s="21"/>
      <c r="IU44" s="168">
        <v>1841339</v>
      </c>
      <c r="IV44" s="168">
        <v>1626330</v>
      </c>
      <c r="IW44" s="168">
        <v>2128033</v>
      </c>
      <c r="IX44" s="168">
        <v>1483901</v>
      </c>
      <c r="IY44" s="168">
        <v>-286694</v>
      </c>
      <c r="IZ44" s="168">
        <v>142429</v>
      </c>
      <c r="JA44" s="168">
        <v>2090788</v>
      </c>
      <c r="JB44" s="168">
        <v>1718802</v>
      </c>
      <c r="JC44" s="168">
        <v>538046</v>
      </c>
      <c r="JD44" s="168">
        <v>43024</v>
      </c>
      <c r="JE44" s="168">
        <v>2376969</v>
      </c>
      <c r="JF44" s="168">
        <v>2497697</v>
      </c>
      <c r="JG44" s="168">
        <v>4316</v>
      </c>
      <c r="JH44" s="168">
        <v>54388</v>
      </c>
      <c r="JI44" s="168">
        <v>60727736</v>
      </c>
      <c r="JJ44" s="168">
        <v>74656318</v>
      </c>
      <c r="JK44" s="168">
        <v>1626733</v>
      </c>
      <c r="JL44" s="168">
        <v>849351</v>
      </c>
      <c r="JM44" s="168">
        <v>62855769</v>
      </c>
      <c r="JN44" s="168">
        <v>76140219</v>
      </c>
      <c r="JO44" s="168">
        <v>1340039</v>
      </c>
      <c r="JP44" s="168">
        <v>991780</v>
      </c>
      <c r="JQ44" s="168">
        <v>4990894</v>
      </c>
      <c r="JR44" s="168">
        <v>-820700</v>
      </c>
      <c r="JS44" s="168">
        <v>232</v>
      </c>
      <c r="JT44" s="168">
        <v>1314</v>
      </c>
      <c r="JU44" s="21"/>
      <c r="JV44" s="21"/>
      <c r="JW44" s="168">
        <v>60702129</v>
      </c>
      <c r="JX44" s="168">
        <v>74301357</v>
      </c>
      <c r="JY44" s="21"/>
      <c r="JZ44" s="21"/>
      <c r="KA44" s="168">
        <v>60060268</v>
      </c>
      <c r="KB44" s="168">
        <v>73494614</v>
      </c>
      <c r="KC44" s="21"/>
      <c r="KD44" s="21"/>
      <c r="KE44" s="168">
        <v>298305</v>
      </c>
      <c r="KF44" s="168">
        <v>493393</v>
      </c>
      <c r="KG44" s="21"/>
      <c r="KH44" s="21"/>
      <c r="KI44" s="168">
        <v>343556</v>
      </c>
      <c r="KJ44" s="168">
        <v>313350</v>
      </c>
      <c r="KK44" s="21"/>
      <c r="KL44" s="21"/>
      <c r="KM44" s="21"/>
      <c r="KN44" s="21"/>
      <c r="KO44" s="21"/>
      <c r="KP44" s="21"/>
      <c r="KQ44" s="168">
        <v>11225964</v>
      </c>
      <c r="KR44" s="168">
        <v>13327902</v>
      </c>
      <c r="KS44" s="21"/>
      <c r="KT44" s="21"/>
      <c r="KU44" s="168">
        <v>30759532</v>
      </c>
      <c r="KV44" s="168">
        <v>30747812</v>
      </c>
      <c r="KW44" s="21"/>
      <c r="KX44" s="21"/>
      <c r="KY44" s="21"/>
      <c r="KZ44" s="21"/>
      <c r="LA44" s="168">
        <v>2937822</v>
      </c>
      <c r="LB44" s="168">
        <v>2956535</v>
      </c>
      <c r="LC44" s="21"/>
      <c r="LD44" s="21"/>
      <c r="LE44" s="21"/>
      <c r="LF44" s="21"/>
      <c r="LG44" s="21"/>
      <c r="LH44" s="21"/>
      <c r="LI44" s="168">
        <v>896859</v>
      </c>
      <c r="LJ44" s="168">
        <v>857009</v>
      </c>
      <c r="LK44" s="168">
        <v>1978685</v>
      </c>
      <c r="LL44" s="168">
        <v>2769223</v>
      </c>
      <c r="LM44" s="168">
        <v>76424</v>
      </c>
      <c r="LN44" s="168">
        <v>285339</v>
      </c>
      <c r="LO44" s="21"/>
      <c r="LP44" s="21"/>
      <c r="LQ44" s="21"/>
      <c r="LR44" s="21"/>
      <c r="LS44" s="21"/>
      <c r="LT44" s="21"/>
      <c r="LU44" s="21"/>
      <c r="LV44" s="21"/>
      <c r="LW44" s="21"/>
      <c r="LX44" s="21"/>
      <c r="LY44" s="21"/>
      <c r="LZ44" s="21"/>
      <c r="MA44" s="168">
        <v>9735847</v>
      </c>
      <c r="MB44" s="168">
        <v>7460315</v>
      </c>
      <c r="MC44" s="21"/>
      <c r="MD44" s="21"/>
      <c r="ME44" s="21"/>
      <c r="MF44" s="21"/>
      <c r="MG44" s="21"/>
      <c r="MH44" s="21"/>
      <c r="MI44" s="21"/>
      <c r="MJ44" s="21"/>
      <c r="MK44" s="21"/>
      <c r="ML44" s="21"/>
      <c r="MM44" s="168">
        <v>7682</v>
      </c>
      <c r="MN44" s="168">
        <v>17477</v>
      </c>
      <c r="MO44" s="168">
        <v>3357813</v>
      </c>
      <c r="MP44" s="168">
        <v>4203956</v>
      </c>
      <c r="MQ44" s="168">
        <v>1804729</v>
      </c>
      <c r="MR44" s="168">
        <v>1948935</v>
      </c>
      <c r="MS44" s="21"/>
      <c r="MT44" s="21"/>
      <c r="MU44" s="21"/>
      <c r="MV44" s="21"/>
      <c r="MW44" s="168">
        <v>3913826</v>
      </c>
      <c r="MX44" s="168">
        <v>3913826</v>
      </c>
      <c r="MY44" s="168">
        <v>3229937</v>
      </c>
      <c r="MZ44" s="168">
        <v>3184709</v>
      </c>
      <c r="NA44" s="168">
        <v>3317281</v>
      </c>
      <c r="NB44" s="168">
        <v>2926448</v>
      </c>
      <c r="NC44" s="168">
        <v>1927318</v>
      </c>
      <c r="ND44" s="168">
        <v>1251080</v>
      </c>
      <c r="NE44" s="21"/>
      <c r="NF44" s="168">
        <v>69825</v>
      </c>
      <c r="NG44" s="168">
        <v>46738242</v>
      </c>
      <c r="NH44" s="168">
        <v>45544870</v>
      </c>
      <c r="NI44" s="21"/>
      <c r="NJ44" s="21"/>
      <c r="NK44" s="21"/>
      <c r="NL44" s="21"/>
      <c r="NM44" s="168">
        <v>23921461</v>
      </c>
      <c r="NN44" s="168">
        <v>24717265</v>
      </c>
      <c r="NO44" s="168">
        <v>76164402</v>
      </c>
      <c r="NP44" s="168">
        <v>76455988</v>
      </c>
      <c r="NQ44" s="168" t="s">
        <v>1054</v>
      </c>
      <c r="NR44" s="168" t="s">
        <v>775</v>
      </c>
      <c r="NS44" s="168" t="s">
        <v>770</v>
      </c>
      <c r="NT44" s="168" t="s">
        <v>771</v>
      </c>
      <c r="NU44" s="168">
        <v>1001</v>
      </c>
      <c r="NV44" s="168" t="s">
        <v>2104</v>
      </c>
      <c r="NW44" s="168" t="s">
        <v>28</v>
      </c>
      <c r="NX44" s="168" t="s">
        <v>25</v>
      </c>
      <c r="NY44" s="169">
        <v>42916</v>
      </c>
      <c r="NZ44" s="169">
        <v>42551</v>
      </c>
      <c r="OA44" s="169">
        <v>43118</v>
      </c>
      <c r="OB44" s="168" t="s">
        <v>1055</v>
      </c>
      <c r="OC44" s="168">
        <v>12</v>
      </c>
      <c r="OD44" s="168" t="s">
        <v>2105</v>
      </c>
      <c r="OE44" s="168" t="s">
        <v>2180</v>
      </c>
      <c r="OF44" s="168" t="s">
        <v>2250</v>
      </c>
      <c r="OG44" s="168" t="s">
        <v>1860</v>
      </c>
      <c r="OH44" s="168" t="s">
        <v>1053</v>
      </c>
      <c r="OI44" s="168" t="s">
        <v>766</v>
      </c>
      <c r="OJ44" s="168" t="s">
        <v>3240</v>
      </c>
      <c r="OK44" s="168" t="s">
        <v>773</v>
      </c>
    </row>
    <row r="45" spans="1:401" x14ac:dyDescent="0.2">
      <c r="A45" s="170" t="str">
        <f>Liste[[#This Row],[Siren]]</f>
        <v>305522807</v>
      </c>
      <c r="B45" s="198" t="str">
        <f>Liste[[#This Row],[Dénomination]]&amp;" - comptes "&amp;YEAR(Liste[[#This Row],[Date de cloture de l''exercice]])</f>
        <v>SICA SA EUREA COOP - comptes 2017</v>
      </c>
      <c r="C45" s="21"/>
      <c r="D45" s="21"/>
      <c r="E45" s="168">
        <v>55226</v>
      </c>
      <c r="F45" s="168">
        <v>1731547</v>
      </c>
      <c r="G45" s="168">
        <v>1658950</v>
      </c>
      <c r="H45" s="168">
        <v>1786773</v>
      </c>
      <c r="I45" s="168">
        <v>9726907</v>
      </c>
      <c r="J45" s="168">
        <v>2944408</v>
      </c>
      <c r="K45" s="168">
        <v>2437683</v>
      </c>
      <c r="L45" s="168">
        <v>12671315</v>
      </c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168">
        <v>309</v>
      </c>
      <c r="AM45" s="168">
        <v>303</v>
      </c>
      <c r="AN45" s="168">
        <v>309</v>
      </c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168">
        <v>668492</v>
      </c>
      <c r="BA45" s="168">
        <v>506594</v>
      </c>
      <c r="BB45" s="168">
        <v>668492</v>
      </c>
      <c r="BC45" s="168">
        <v>1854435</v>
      </c>
      <c r="BD45" s="168">
        <v>26337456</v>
      </c>
      <c r="BE45" s="168">
        <v>26044800</v>
      </c>
      <c r="BF45" s="168">
        <v>28191891</v>
      </c>
      <c r="BG45" s="168">
        <v>1549077</v>
      </c>
      <c r="BH45" s="168">
        <v>1699960</v>
      </c>
      <c r="BI45" s="168">
        <v>1652578</v>
      </c>
      <c r="BJ45" s="168">
        <v>3249037</v>
      </c>
      <c r="BK45" s="168">
        <v>19400617</v>
      </c>
      <c r="BL45" s="168">
        <v>18365507</v>
      </c>
      <c r="BM45" s="168">
        <v>15713698</v>
      </c>
      <c r="BN45" s="168">
        <v>37766124</v>
      </c>
      <c r="BO45" s="21"/>
      <c r="BP45" s="21"/>
      <c r="BQ45" s="21"/>
      <c r="BR45" s="21"/>
      <c r="BS45" s="21"/>
      <c r="BT45" s="21"/>
      <c r="BU45" s="21"/>
      <c r="BV45" s="21"/>
      <c r="BW45" s="21"/>
      <c r="BX45" s="168">
        <v>12082985</v>
      </c>
      <c r="BY45" s="168">
        <v>9963249</v>
      </c>
      <c r="BZ45" s="168">
        <v>12082985</v>
      </c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168">
        <v>1287388</v>
      </c>
      <c r="CQ45" s="168">
        <v>4295790</v>
      </c>
      <c r="CR45" s="168">
        <v>3467029</v>
      </c>
      <c r="CS45" s="168">
        <v>5583178</v>
      </c>
      <c r="CT45" s="21"/>
      <c r="CU45" s="21"/>
      <c r="CV45" s="21"/>
      <c r="CW45" s="21"/>
      <c r="CX45" s="21"/>
      <c r="CY45" s="21"/>
      <c r="CZ45" s="21"/>
      <c r="DA45" s="21"/>
      <c r="DB45" s="21"/>
      <c r="DC45" s="168">
        <v>2323647</v>
      </c>
      <c r="DD45" s="168">
        <v>1260174</v>
      </c>
      <c r="DE45" s="168">
        <v>2323647</v>
      </c>
      <c r="DF45" s="168">
        <v>20978838</v>
      </c>
      <c r="DG45" s="168">
        <v>6459531</v>
      </c>
      <c r="DH45" s="168">
        <v>5398493</v>
      </c>
      <c r="DI45" s="168">
        <v>27438369</v>
      </c>
      <c r="DJ45" s="168">
        <v>499507</v>
      </c>
      <c r="DK45" s="168">
        <v>22266938</v>
      </c>
      <c r="DL45" s="168">
        <v>21884282</v>
      </c>
      <c r="DM45" s="168">
        <v>22766445</v>
      </c>
      <c r="DN45" s="168">
        <v>33110</v>
      </c>
      <c r="DO45" s="168">
        <v>3248256</v>
      </c>
      <c r="DP45" s="168">
        <v>2456597</v>
      </c>
      <c r="DQ45" s="168">
        <v>3281366</v>
      </c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168">
        <v>1909661</v>
      </c>
      <c r="EP45" s="168">
        <v>34069088</v>
      </c>
      <c r="EQ45" s="168">
        <v>32985058</v>
      </c>
      <c r="ER45" s="168">
        <v>82978699</v>
      </c>
      <c r="ES45" s="21"/>
      <c r="ET45" s="168">
        <v>18702119</v>
      </c>
      <c r="EU45" s="168">
        <v>9968249</v>
      </c>
      <c r="EV45" s="168">
        <v>18702119</v>
      </c>
      <c r="EW45" s="168">
        <v>1634666</v>
      </c>
      <c r="EX45" s="168">
        <v>8335287</v>
      </c>
      <c r="EY45" s="168">
        <v>6352986</v>
      </c>
      <c r="EZ45" s="168">
        <v>9969953</v>
      </c>
      <c r="FA45" s="21"/>
      <c r="FB45" s="168">
        <v>293570</v>
      </c>
      <c r="FC45" s="168">
        <v>691295</v>
      </c>
      <c r="FD45" s="168">
        <v>293570</v>
      </c>
      <c r="FE45" s="21"/>
      <c r="FF45" s="21"/>
      <c r="FG45" s="21"/>
      <c r="FH45" s="21"/>
      <c r="FI45" s="168">
        <v>863346</v>
      </c>
      <c r="FJ45" s="168">
        <v>418463</v>
      </c>
      <c r="FK45" s="21"/>
      <c r="FL45" s="21"/>
      <c r="FM45" s="168">
        <v>128190</v>
      </c>
      <c r="FN45" s="168">
        <v>186823</v>
      </c>
      <c r="FO45" s="21"/>
      <c r="FP45" s="21"/>
      <c r="FQ45" s="168">
        <v>82361</v>
      </c>
      <c r="FR45" s="168">
        <v>19696</v>
      </c>
      <c r="FS45" s="21"/>
      <c r="FT45" s="21"/>
      <c r="FU45" s="168">
        <v>72217</v>
      </c>
      <c r="FV45" s="168">
        <v>14824</v>
      </c>
      <c r="FW45" s="168">
        <v>1311026</v>
      </c>
      <c r="FX45" s="168">
        <v>1313399</v>
      </c>
      <c r="FY45" s="21"/>
      <c r="FZ45" s="21"/>
      <c r="GA45" s="21"/>
      <c r="GB45" s="21"/>
      <c r="GC45" s="168">
        <v>159349</v>
      </c>
      <c r="GD45" s="168">
        <v>283901</v>
      </c>
      <c r="GE45" s="21"/>
      <c r="GF45" s="21"/>
      <c r="GG45" s="21"/>
      <c r="GH45" s="21"/>
      <c r="GI45" s="21"/>
      <c r="GJ45" s="21"/>
      <c r="GK45" s="168">
        <v>258069</v>
      </c>
      <c r="GL45" s="168">
        <v>137185</v>
      </c>
      <c r="GM45" s="21"/>
      <c r="GN45" s="21"/>
      <c r="GO45" s="168">
        <v>4437023</v>
      </c>
      <c r="GP45" s="168">
        <v>3772618</v>
      </c>
      <c r="GQ45" s="21"/>
      <c r="GR45" s="21"/>
      <c r="GS45" s="168">
        <v>4053563</v>
      </c>
      <c r="GT45" s="168">
        <v>3269110</v>
      </c>
      <c r="GU45" s="168">
        <v>1350450</v>
      </c>
      <c r="GV45" s="168">
        <v>309418</v>
      </c>
      <c r="GW45" s="168">
        <v>2213796</v>
      </c>
      <c r="GX45" s="168">
        <v>727881</v>
      </c>
      <c r="GY45" s="168">
        <v>88312704</v>
      </c>
      <c r="GZ45" s="168">
        <v>89658789</v>
      </c>
      <c r="HA45" s="168">
        <v>49940458</v>
      </c>
      <c r="HB45" s="168">
        <v>41614720</v>
      </c>
      <c r="HC45" s="21"/>
      <c r="HD45" s="21"/>
      <c r="HE45" s="168">
        <v>1517631</v>
      </c>
      <c r="HF45" s="168">
        <v>878652</v>
      </c>
      <c r="HG45" s="21"/>
      <c r="HH45" s="21"/>
      <c r="HI45" s="168">
        <v>39827</v>
      </c>
      <c r="HJ45" s="168">
        <v>34163</v>
      </c>
      <c r="HK45" s="21"/>
      <c r="HL45" s="21"/>
      <c r="HM45" s="21"/>
      <c r="HN45" s="21"/>
      <c r="HO45" s="168">
        <v>7119821</v>
      </c>
      <c r="HP45" s="168">
        <v>6981177</v>
      </c>
      <c r="HQ45" s="21"/>
      <c r="HR45" s="21"/>
      <c r="HS45" s="21"/>
      <c r="HT45" s="21"/>
      <c r="HU45" s="168">
        <v>4293441</v>
      </c>
      <c r="HV45" s="168">
        <v>4017481</v>
      </c>
      <c r="HW45" s="21"/>
      <c r="HX45" s="21"/>
      <c r="HY45" s="168">
        <v>1286147</v>
      </c>
      <c r="HZ45" s="168">
        <v>1220292</v>
      </c>
      <c r="IA45" s="168">
        <v>1637978</v>
      </c>
      <c r="IB45" s="168">
        <v>1582152</v>
      </c>
      <c r="IC45" s="21"/>
      <c r="ID45" s="21"/>
      <c r="IE45" s="168">
        <v>2905407</v>
      </c>
      <c r="IF45" s="168">
        <v>2781929</v>
      </c>
      <c r="IG45" s="21"/>
      <c r="IH45" s="21"/>
      <c r="II45" s="21"/>
      <c r="IJ45" s="21"/>
      <c r="IK45" s="21"/>
      <c r="IL45" s="21"/>
      <c r="IM45" s="168">
        <v>15710</v>
      </c>
      <c r="IN45" s="168">
        <v>141362</v>
      </c>
      <c r="IO45" s="21"/>
      <c r="IP45" s="21"/>
      <c r="IQ45" s="21"/>
      <c r="IR45" s="21"/>
      <c r="IS45" s="21"/>
      <c r="IT45" s="21"/>
      <c r="IU45" s="21"/>
      <c r="IV45" s="21"/>
      <c r="IW45" s="168">
        <v>5839637</v>
      </c>
      <c r="IX45" s="168">
        <v>5631920</v>
      </c>
      <c r="IY45" s="21"/>
      <c r="IZ45" s="21"/>
      <c r="JA45" s="168">
        <v>2993486</v>
      </c>
      <c r="JB45" s="168">
        <v>2108887</v>
      </c>
      <c r="JC45" s="168">
        <v>369154</v>
      </c>
      <c r="JD45" s="168">
        <v>350383</v>
      </c>
      <c r="JE45" s="21"/>
      <c r="JF45" s="21"/>
      <c r="JG45" s="168">
        <v>39856</v>
      </c>
      <c r="JH45" s="168">
        <v>6852</v>
      </c>
      <c r="JI45" s="168">
        <v>191800732</v>
      </c>
      <c r="JJ45" s="168">
        <v>182779121</v>
      </c>
      <c r="JK45" s="21"/>
      <c r="JL45" s="21"/>
      <c r="JM45" s="168">
        <v>197640369</v>
      </c>
      <c r="JN45" s="168">
        <v>188411041</v>
      </c>
      <c r="JO45" s="168">
        <v>506126</v>
      </c>
      <c r="JP45" s="168">
        <v>520820</v>
      </c>
      <c r="JQ45" s="168">
        <v>596093</v>
      </c>
      <c r="JR45" s="168">
        <v>38774</v>
      </c>
      <c r="JS45" s="168">
        <v>1021458</v>
      </c>
      <c r="JT45" s="168">
        <v>597870</v>
      </c>
      <c r="JU45" s="21"/>
      <c r="JV45" s="21"/>
      <c r="JW45" s="168">
        <v>193930115</v>
      </c>
      <c r="JX45" s="168">
        <v>185628458</v>
      </c>
      <c r="JY45" s="21"/>
      <c r="JZ45" s="21"/>
      <c r="KA45" s="21"/>
      <c r="KB45" s="21"/>
      <c r="KC45" s="21"/>
      <c r="KD45" s="21"/>
      <c r="KE45" s="21"/>
      <c r="KF45" s="21"/>
      <c r="KG45" s="21"/>
      <c r="KH45" s="21"/>
      <c r="KI45" s="168">
        <v>128545700</v>
      </c>
      <c r="KJ45" s="168">
        <v>122798947</v>
      </c>
      <c r="KK45" s="21"/>
      <c r="KL45" s="21"/>
      <c r="KM45" s="21"/>
      <c r="KN45" s="21"/>
      <c r="KO45" s="21"/>
      <c r="KP45" s="21"/>
      <c r="KQ45" s="21"/>
      <c r="KR45" s="21"/>
      <c r="KS45" s="21"/>
      <c r="KT45" s="21"/>
      <c r="KU45" s="168">
        <v>10307352</v>
      </c>
      <c r="KV45" s="168">
        <v>10061303</v>
      </c>
      <c r="KW45" s="21"/>
      <c r="KX45" s="21"/>
      <c r="KY45" s="21"/>
      <c r="KZ45" s="21"/>
      <c r="LA45" s="168">
        <v>11163806</v>
      </c>
      <c r="LB45" s="168">
        <v>10490686</v>
      </c>
      <c r="LC45" s="21"/>
      <c r="LD45" s="21"/>
      <c r="LE45" s="21"/>
      <c r="LF45" s="21"/>
      <c r="LG45" s="21"/>
      <c r="LH45" s="21"/>
      <c r="LI45" s="168">
        <v>9802525</v>
      </c>
      <c r="LJ45" s="168">
        <v>9183123</v>
      </c>
      <c r="LK45" s="168">
        <v>16253237</v>
      </c>
      <c r="LL45" s="168">
        <v>15603163</v>
      </c>
      <c r="LM45" s="21"/>
      <c r="LN45" s="21"/>
      <c r="LO45" s="21"/>
      <c r="LP45" s="21"/>
      <c r="LQ45" s="21"/>
      <c r="LR45" s="21"/>
      <c r="LS45" s="21"/>
      <c r="LT45" s="21"/>
      <c r="LU45" s="21"/>
      <c r="LV45" s="21"/>
      <c r="LW45" s="168">
        <v>98545</v>
      </c>
      <c r="LX45" s="168">
        <v>98545</v>
      </c>
      <c r="LY45" s="21"/>
      <c r="LZ45" s="21"/>
      <c r="MA45" s="168">
        <v>24326775</v>
      </c>
      <c r="MB45" s="168">
        <v>16420346</v>
      </c>
      <c r="MC45" s="168">
        <v>1199643</v>
      </c>
      <c r="MD45" s="168">
        <v>1521147</v>
      </c>
      <c r="ME45" s="21"/>
      <c r="MF45" s="21"/>
      <c r="MG45" s="21"/>
      <c r="MH45" s="21"/>
      <c r="MI45" s="21"/>
      <c r="MJ45" s="21"/>
      <c r="MK45" s="21"/>
      <c r="ML45" s="21"/>
      <c r="MM45" s="168">
        <v>745633</v>
      </c>
      <c r="MN45" s="168">
        <v>735407</v>
      </c>
      <c r="MO45" s="168">
        <v>2672052</v>
      </c>
      <c r="MP45" s="168">
        <v>1954216</v>
      </c>
      <c r="MQ45" s="168">
        <v>1738317</v>
      </c>
      <c r="MR45" s="168">
        <v>2076864</v>
      </c>
      <c r="MS45" s="21"/>
      <c r="MT45" s="21"/>
      <c r="MU45" s="21"/>
      <c r="MV45" s="21"/>
      <c r="MW45" s="168">
        <v>1701972</v>
      </c>
      <c r="MX45" s="168">
        <v>1683081</v>
      </c>
      <c r="MY45" s="168">
        <v>13616604</v>
      </c>
      <c r="MZ45" s="168">
        <v>13157736</v>
      </c>
      <c r="NA45" s="168">
        <v>498813</v>
      </c>
      <c r="NB45" s="168">
        <v>498813</v>
      </c>
      <c r="NC45" s="168">
        <v>4053563</v>
      </c>
      <c r="ND45" s="168">
        <v>3269110</v>
      </c>
      <c r="NE45" s="21"/>
      <c r="NF45" s="21"/>
      <c r="NG45" s="168">
        <v>62036328</v>
      </c>
      <c r="NH45" s="168">
        <v>57419410</v>
      </c>
      <c r="NI45" s="21"/>
      <c r="NJ45" s="21"/>
      <c r="NK45" s="21"/>
      <c r="NL45" s="21"/>
      <c r="NM45" s="168">
        <v>51882759</v>
      </c>
      <c r="NN45" s="168">
        <v>29683581</v>
      </c>
      <c r="NO45" s="168">
        <v>31882739</v>
      </c>
      <c r="NP45" s="168">
        <v>29683581</v>
      </c>
      <c r="NQ45" s="168" t="s">
        <v>3323</v>
      </c>
      <c r="NR45" s="168" t="s">
        <v>775</v>
      </c>
      <c r="NS45" s="168" t="s">
        <v>770</v>
      </c>
      <c r="NT45" s="168" t="s">
        <v>771</v>
      </c>
      <c r="NU45" s="168">
        <v>4202</v>
      </c>
      <c r="NV45" s="168" t="s">
        <v>2104</v>
      </c>
      <c r="NW45" s="168" t="s">
        <v>28</v>
      </c>
      <c r="NX45" s="168" t="s">
        <v>25</v>
      </c>
      <c r="NY45" s="169">
        <v>42916</v>
      </c>
      <c r="NZ45" s="169">
        <v>42551</v>
      </c>
      <c r="OA45" s="169">
        <v>43104</v>
      </c>
      <c r="OB45" s="168" t="s">
        <v>1014</v>
      </c>
      <c r="OC45" s="168">
        <v>12</v>
      </c>
      <c r="OD45" s="168" t="s">
        <v>2105</v>
      </c>
      <c r="OE45" s="168" t="s">
        <v>3324</v>
      </c>
      <c r="OF45" s="168" t="s">
        <v>2217</v>
      </c>
      <c r="OG45" s="168" t="s">
        <v>1845</v>
      </c>
      <c r="OH45" s="168" t="s">
        <v>837</v>
      </c>
      <c r="OI45" s="168" t="s">
        <v>766</v>
      </c>
      <c r="OJ45" s="168" t="s">
        <v>3240</v>
      </c>
      <c r="OK45" s="168" t="s">
        <v>773</v>
      </c>
    </row>
    <row r="46" spans="1:401" x14ac:dyDescent="0.2">
      <c r="A46" s="170" t="str">
        <f>Liste[[#This Row],[Siren]]</f>
        <v>391426350</v>
      </c>
      <c r="B46" s="198" t="str">
        <f>Liste[[#This Row],[Dénomination]]&amp;" - comptes "&amp;YEAR(Liste[[#This Row],[Date de cloture de l''exercice]])</f>
        <v>MAYENCE - comptes 2017</v>
      </c>
      <c r="C46" s="21"/>
      <c r="D46" s="21"/>
      <c r="E46" s="168">
        <v>3613000</v>
      </c>
      <c r="F46" s="168">
        <v>371000</v>
      </c>
      <c r="G46" s="168">
        <v>957000</v>
      </c>
      <c r="H46" s="168">
        <v>3984000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168">
        <v>18000</v>
      </c>
      <c r="BA46" s="168">
        <v>23000</v>
      </c>
      <c r="BB46" s="168">
        <v>18000</v>
      </c>
      <c r="BC46" s="21"/>
      <c r="BD46" s="168">
        <v>1563000</v>
      </c>
      <c r="BE46" s="21"/>
      <c r="BF46" s="168">
        <v>1563000</v>
      </c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168">
        <v>1785000</v>
      </c>
      <c r="EL46" s="168">
        <v>332000</v>
      </c>
      <c r="EM46" s="168">
        <v>335000</v>
      </c>
      <c r="EN46" s="168">
        <v>2117000</v>
      </c>
      <c r="EO46" s="168">
        <v>3613000</v>
      </c>
      <c r="EP46" s="168">
        <v>1956000</v>
      </c>
      <c r="EQ46" s="168">
        <v>1082000</v>
      </c>
      <c r="ER46" s="168">
        <v>5568000</v>
      </c>
      <c r="ES46" s="168">
        <v>5398000</v>
      </c>
      <c r="ET46" s="168">
        <v>2288000</v>
      </c>
      <c r="EU46" s="168">
        <v>1417000</v>
      </c>
      <c r="EV46" s="168">
        <v>7686000</v>
      </c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168">
        <v>92000</v>
      </c>
      <c r="FK46" s="21"/>
      <c r="FL46" s="21"/>
      <c r="FM46" s="21"/>
      <c r="FN46" s="21"/>
      <c r="FO46" s="21"/>
      <c r="FP46" s="168">
        <v>1000</v>
      </c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168">
        <v>71000</v>
      </c>
      <c r="GE46" s="21"/>
      <c r="GF46" s="168">
        <v>2000</v>
      </c>
      <c r="GG46" s="21"/>
      <c r="GH46" s="21"/>
      <c r="GI46" s="21"/>
      <c r="GJ46" s="21"/>
      <c r="GK46" s="21"/>
      <c r="GL46" s="168">
        <v>20000</v>
      </c>
      <c r="GM46" s="21"/>
      <c r="GN46" s="21"/>
      <c r="GO46" s="21"/>
      <c r="GP46" s="21"/>
      <c r="GQ46" s="21"/>
      <c r="GR46" s="21"/>
      <c r="GS46" s="168">
        <v>385000</v>
      </c>
      <c r="GT46" s="168">
        <v>191000</v>
      </c>
      <c r="GU46" s="21"/>
      <c r="GV46" s="168">
        <v>1000</v>
      </c>
      <c r="GW46" s="21"/>
      <c r="GX46" s="168">
        <v>93000</v>
      </c>
      <c r="GY46" s="21"/>
      <c r="GZ46" s="21"/>
      <c r="HA46" s="21"/>
      <c r="HB46" s="21"/>
      <c r="HC46" s="168">
        <v>496000</v>
      </c>
      <c r="HD46" s="168">
        <v>502000</v>
      </c>
      <c r="HE46" s="168">
        <v>1000</v>
      </c>
      <c r="HF46" s="168">
        <v>66000</v>
      </c>
      <c r="HG46" s="21"/>
      <c r="HH46" s="21"/>
      <c r="HI46" s="168">
        <v>5000</v>
      </c>
      <c r="HJ46" s="168">
        <v>50000</v>
      </c>
      <c r="HK46" s="21"/>
      <c r="HL46" s="21"/>
      <c r="HM46" s="21"/>
      <c r="HN46" s="21"/>
      <c r="HO46" s="168">
        <v>286000</v>
      </c>
      <c r="HP46" s="168">
        <v>281000</v>
      </c>
      <c r="HQ46" s="21"/>
      <c r="HR46" s="21"/>
      <c r="HS46" s="21"/>
      <c r="HT46" s="21"/>
      <c r="HU46" s="168">
        <v>45000</v>
      </c>
      <c r="HV46" s="168">
        <v>67000</v>
      </c>
      <c r="HW46" s="21"/>
      <c r="HX46" s="21"/>
      <c r="HY46" s="168">
        <v>140000</v>
      </c>
      <c r="HZ46" s="21"/>
      <c r="IA46" s="21"/>
      <c r="IB46" s="21"/>
      <c r="IC46" s="21"/>
      <c r="ID46" s="21"/>
      <c r="IE46" s="168">
        <v>51000</v>
      </c>
      <c r="IF46" s="168">
        <v>38000</v>
      </c>
      <c r="IG46" s="21"/>
      <c r="IH46" s="21"/>
      <c r="II46" s="21"/>
      <c r="IJ46" s="21"/>
      <c r="IK46" s="21"/>
      <c r="IL46" s="21"/>
      <c r="IM46" s="21"/>
      <c r="IN46" s="21"/>
      <c r="IO46" s="21"/>
      <c r="IP46" s="21"/>
      <c r="IQ46" s="21"/>
      <c r="IR46" s="21"/>
      <c r="IS46" s="21"/>
      <c r="IT46" s="21"/>
      <c r="IU46" s="168">
        <v>385000</v>
      </c>
      <c r="IV46" s="168">
        <v>99000</v>
      </c>
      <c r="IW46" s="168">
        <v>385000</v>
      </c>
      <c r="IX46" s="168">
        <v>99000</v>
      </c>
      <c r="IY46" s="21"/>
      <c r="IZ46" s="21"/>
      <c r="JA46" s="168">
        <v>50000</v>
      </c>
      <c r="JB46" s="168">
        <v>48000</v>
      </c>
      <c r="JC46" s="21"/>
      <c r="JD46" s="21"/>
      <c r="JE46" s="168">
        <v>556000</v>
      </c>
      <c r="JF46" s="168">
        <v>638000</v>
      </c>
      <c r="JG46" s="21"/>
      <c r="JH46" s="21"/>
      <c r="JI46" s="168">
        <v>1574000</v>
      </c>
      <c r="JJ46" s="168">
        <v>1592000</v>
      </c>
      <c r="JK46" s="21"/>
      <c r="JL46" s="21"/>
      <c r="JM46" s="168">
        <v>1959000</v>
      </c>
      <c r="JN46" s="168">
        <v>1691000</v>
      </c>
      <c r="JO46" s="21"/>
      <c r="JP46" s="21"/>
      <c r="JQ46" s="21"/>
      <c r="JR46" s="21"/>
      <c r="JS46" s="21"/>
      <c r="JT46" s="21"/>
      <c r="JU46" s="21"/>
      <c r="JV46" s="21"/>
      <c r="JW46" s="168">
        <v>1903000</v>
      </c>
      <c r="JX46" s="168">
        <v>1593000</v>
      </c>
      <c r="JY46" s="21"/>
      <c r="JZ46" s="21"/>
      <c r="KA46" s="21"/>
      <c r="KB46" s="21"/>
      <c r="KC46" s="21"/>
      <c r="KD46" s="21"/>
      <c r="KE46" s="168">
        <v>1903000</v>
      </c>
      <c r="KF46" s="168">
        <v>1593000</v>
      </c>
      <c r="KG46" s="21"/>
      <c r="KH46" s="21"/>
      <c r="KI46" s="21"/>
      <c r="KJ46" s="21"/>
      <c r="KK46" s="21"/>
      <c r="KL46" s="21"/>
      <c r="KM46" s="21"/>
      <c r="KN46" s="21"/>
      <c r="KO46" s="21"/>
      <c r="KP46" s="21"/>
      <c r="KQ46" s="21"/>
      <c r="KR46" s="21"/>
      <c r="KS46" s="21"/>
      <c r="KT46" s="21"/>
      <c r="KU46" s="21"/>
      <c r="KV46" s="21"/>
      <c r="KW46" s="21"/>
      <c r="KX46" s="21"/>
      <c r="KY46" s="21"/>
      <c r="KZ46" s="21"/>
      <c r="LA46" s="168">
        <v>144000</v>
      </c>
      <c r="LB46" s="168">
        <v>146000</v>
      </c>
      <c r="LC46" s="21"/>
      <c r="LD46" s="21"/>
      <c r="LE46" s="21"/>
      <c r="LF46" s="21"/>
      <c r="LG46" s="21"/>
      <c r="LH46" s="21"/>
      <c r="LI46" s="168">
        <v>986000</v>
      </c>
      <c r="LJ46" s="168">
        <v>984000</v>
      </c>
      <c r="LK46" s="168">
        <v>387000</v>
      </c>
      <c r="LL46" s="168">
        <v>400000</v>
      </c>
      <c r="LM46" s="21"/>
      <c r="LN46" s="21"/>
      <c r="LO46" s="21"/>
      <c r="LP46" s="21"/>
      <c r="LQ46" s="21"/>
      <c r="LR46" s="21"/>
      <c r="LS46" s="21"/>
      <c r="LT46" s="21"/>
      <c r="LU46" s="21"/>
      <c r="LV46" s="21"/>
      <c r="LW46" s="21"/>
      <c r="LX46" s="21"/>
      <c r="LY46" s="21"/>
      <c r="LZ46" s="21"/>
      <c r="MA46" s="21"/>
      <c r="MB46" s="21"/>
      <c r="MC46" s="168">
        <v>5863000</v>
      </c>
      <c r="MD46" s="168">
        <v>5409000</v>
      </c>
      <c r="ME46" s="21"/>
      <c r="MF46" s="21"/>
      <c r="MG46" s="21"/>
      <c r="MH46" s="21"/>
      <c r="MI46" s="168">
        <v>1962000</v>
      </c>
      <c r="MJ46" s="168">
        <v>2057000</v>
      </c>
      <c r="MK46" s="21"/>
      <c r="ML46" s="21"/>
      <c r="MM46" s="21"/>
      <c r="MN46" s="21"/>
      <c r="MO46" s="21"/>
      <c r="MP46" s="21"/>
      <c r="MQ46" s="21"/>
      <c r="MR46" s="21"/>
      <c r="MS46" s="21"/>
      <c r="MT46" s="21"/>
      <c r="MU46" s="168">
        <v>-7788000</v>
      </c>
      <c r="MV46" s="168">
        <v>-7979000</v>
      </c>
      <c r="MW46" s="21"/>
      <c r="MX46" s="21"/>
      <c r="MY46" s="21"/>
      <c r="MZ46" s="21"/>
      <c r="NA46" s="21"/>
      <c r="NB46" s="21"/>
      <c r="NC46" s="168">
        <v>385000</v>
      </c>
      <c r="ND46" s="168">
        <v>191000</v>
      </c>
      <c r="NE46" s="21"/>
      <c r="NF46" s="21"/>
      <c r="NG46" s="168">
        <v>-5288000</v>
      </c>
      <c r="NH46" s="168">
        <v>-5575000</v>
      </c>
      <c r="NI46" s="21"/>
      <c r="NJ46" s="21"/>
      <c r="NK46" s="21"/>
      <c r="NL46" s="21"/>
      <c r="NM46" s="168">
        <v>7236000</v>
      </c>
      <c r="NN46" s="168">
        <v>6793000</v>
      </c>
      <c r="NO46" s="168">
        <v>2288000</v>
      </c>
      <c r="NP46" s="168">
        <v>1417000</v>
      </c>
      <c r="NQ46" s="168" t="s">
        <v>1393</v>
      </c>
      <c r="NR46" s="168" t="s">
        <v>982</v>
      </c>
      <c r="NS46" s="168" t="s">
        <v>770</v>
      </c>
      <c r="NT46" s="168" t="s">
        <v>771</v>
      </c>
      <c r="NU46" s="168">
        <v>9201</v>
      </c>
      <c r="NV46" s="168" t="s">
        <v>2104</v>
      </c>
      <c r="NW46" s="168" t="s">
        <v>28</v>
      </c>
      <c r="NX46" s="168" t="s">
        <v>25</v>
      </c>
      <c r="NY46" s="169">
        <v>42916</v>
      </c>
      <c r="NZ46" s="169">
        <v>42551</v>
      </c>
      <c r="OA46" s="169">
        <v>43115</v>
      </c>
      <c r="OB46" s="168" t="s">
        <v>3325</v>
      </c>
      <c r="OC46" s="168">
        <v>12</v>
      </c>
      <c r="OD46" s="168" t="s">
        <v>2106</v>
      </c>
      <c r="OE46" s="168" t="s">
        <v>2380</v>
      </c>
      <c r="OF46" s="168" t="s">
        <v>3326</v>
      </c>
      <c r="OG46" s="168" t="s">
        <v>3327</v>
      </c>
      <c r="OH46" s="168" t="s">
        <v>777</v>
      </c>
      <c r="OI46" s="168" t="s">
        <v>766</v>
      </c>
      <c r="OJ46" s="168" t="s">
        <v>3240</v>
      </c>
      <c r="OK46" s="168" t="s">
        <v>981</v>
      </c>
    </row>
    <row r="47" spans="1:401" x14ac:dyDescent="0.2">
      <c r="A47" s="170" t="str">
        <f>Liste[[#This Row],[Siren]]</f>
        <v>775570955</v>
      </c>
      <c r="B47" s="198" t="str">
        <f>Liste[[#This Row],[Dénomination]]&amp;" - comptes "&amp;YEAR(Liste[[#This Row],[Date de cloture de l''exercice]])</f>
        <v>COOPERATIVE AGRICOLE TERRE COMTOISE - comptes 2017</v>
      </c>
      <c r="C47" s="21"/>
      <c r="D47" s="21"/>
      <c r="E47" s="21"/>
      <c r="F47" s="168">
        <v>3912380</v>
      </c>
      <c r="G47" s="168">
        <v>3955258</v>
      </c>
      <c r="H47" s="168">
        <v>3912380</v>
      </c>
      <c r="I47" s="168">
        <v>10775042</v>
      </c>
      <c r="J47" s="168">
        <v>2005670</v>
      </c>
      <c r="K47" s="168">
        <v>2171953</v>
      </c>
      <c r="L47" s="168">
        <v>12780712</v>
      </c>
      <c r="M47" s="21"/>
      <c r="N47" s="168">
        <v>246890</v>
      </c>
      <c r="O47" s="168">
        <v>256608</v>
      </c>
      <c r="P47" s="168">
        <v>246890</v>
      </c>
      <c r="Q47" s="21"/>
      <c r="R47" s="21"/>
      <c r="S47" s="21"/>
      <c r="T47" s="21"/>
      <c r="U47" s="21"/>
      <c r="V47" s="21"/>
      <c r="W47" s="21"/>
      <c r="X47" s="21"/>
      <c r="Y47" s="21"/>
      <c r="Z47" s="168">
        <v>206454</v>
      </c>
      <c r="AA47" s="168">
        <v>206448</v>
      </c>
      <c r="AB47" s="168">
        <v>206454</v>
      </c>
      <c r="AC47" s="21"/>
      <c r="AD47" s="21"/>
      <c r="AE47" s="21"/>
      <c r="AF47" s="21"/>
      <c r="AG47" s="21"/>
      <c r="AH47" s="21"/>
      <c r="AI47" s="21"/>
      <c r="AJ47" s="21"/>
      <c r="AK47" s="21"/>
      <c r="AL47" s="168">
        <v>176517</v>
      </c>
      <c r="AM47" s="168">
        <v>52837</v>
      </c>
      <c r="AN47" s="168">
        <v>176517</v>
      </c>
      <c r="AO47" s="21"/>
      <c r="AP47" s="168">
        <v>20768</v>
      </c>
      <c r="AQ47" s="168">
        <v>20768</v>
      </c>
      <c r="AR47" s="168">
        <v>20768</v>
      </c>
      <c r="AS47" s="21"/>
      <c r="AT47" s="21"/>
      <c r="AU47" s="21"/>
      <c r="AV47" s="21"/>
      <c r="AW47" s="21"/>
      <c r="AX47" s="21"/>
      <c r="AY47" s="21"/>
      <c r="AZ47" s="168">
        <v>678511</v>
      </c>
      <c r="BA47" s="168">
        <v>562097</v>
      </c>
      <c r="BB47" s="168">
        <v>678511</v>
      </c>
      <c r="BC47" s="168">
        <v>6290634</v>
      </c>
      <c r="BD47" s="168">
        <v>33932494</v>
      </c>
      <c r="BE47" s="168">
        <v>29633661</v>
      </c>
      <c r="BF47" s="168">
        <v>40223128</v>
      </c>
      <c r="BG47" s="168">
        <v>988932</v>
      </c>
      <c r="BH47" s="168">
        <v>122374</v>
      </c>
      <c r="BI47" s="168">
        <v>158848</v>
      </c>
      <c r="BJ47" s="168">
        <v>1111306</v>
      </c>
      <c r="BK47" s="168">
        <v>35152483</v>
      </c>
      <c r="BL47" s="168">
        <v>25273381</v>
      </c>
      <c r="BM47" s="168">
        <v>24162327</v>
      </c>
      <c r="BN47" s="168">
        <v>60425864</v>
      </c>
      <c r="BO47" s="21"/>
      <c r="BP47" s="168">
        <v>460106</v>
      </c>
      <c r="BQ47" s="168">
        <v>460106</v>
      </c>
      <c r="BR47" s="168">
        <v>460106</v>
      </c>
      <c r="BS47" s="21"/>
      <c r="BT47" s="21"/>
      <c r="BU47" s="21"/>
      <c r="BV47" s="21"/>
      <c r="BW47" s="21"/>
      <c r="BX47" s="168">
        <v>7579524</v>
      </c>
      <c r="BY47" s="168">
        <v>5979894</v>
      </c>
      <c r="BZ47" s="168">
        <v>7579524</v>
      </c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168">
        <v>87399</v>
      </c>
      <c r="CN47" s="168">
        <v>107127</v>
      </c>
      <c r="CO47" s="168">
        <v>87399</v>
      </c>
      <c r="CP47" s="168">
        <v>1542380</v>
      </c>
      <c r="CQ47" s="168">
        <v>30002</v>
      </c>
      <c r="CR47" s="168">
        <v>10670</v>
      </c>
      <c r="CS47" s="168">
        <v>1572382</v>
      </c>
      <c r="CT47" s="21"/>
      <c r="CU47" s="21"/>
      <c r="CV47" s="21"/>
      <c r="CW47" s="21"/>
      <c r="CX47" s="21"/>
      <c r="CY47" s="21"/>
      <c r="CZ47" s="21"/>
      <c r="DA47" s="21"/>
      <c r="DB47" s="21"/>
      <c r="DC47" s="168">
        <v>9270877</v>
      </c>
      <c r="DD47" s="168">
        <v>3055968</v>
      </c>
      <c r="DE47" s="168">
        <v>9270877</v>
      </c>
      <c r="DF47" s="168">
        <v>23694424</v>
      </c>
      <c r="DG47" s="168">
        <v>4862281</v>
      </c>
      <c r="DH47" s="168">
        <v>5570277</v>
      </c>
      <c r="DI47" s="168">
        <v>28556705</v>
      </c>
      <c r="DJ47" s="168">
        <v>2212539</v>
      </c>
      <c r="DK47" s="168">
        <v>20594389</v>
      </c>
      <c r="DL47" s="168">
        <v>24920751</v>
      </c>
      <c r="DM47" s="168">
        <v>22806928</v>
      </c>
      <c r="DN47" s="168">
        <v>2913</v>
      </c>
      <c r="DO47" s="168">
        <v>1923237</v>
      </c>
      <c r="DP47" s="168">
        <v>2083168</v>
      </c>
      <c r="DQ47" s="168">
        <v>1926150</v>
      </c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168">
        <v>73712684</v>
      </c>
      <c r="EL47" s="168">
        <v>46657045</v>
      </c>
      <c r="EM47" s="168">
        <v>40228149</v>
      </c>
      <c r="EN47" s="168">
        <v>120369729</v>
      </c>
      <c r="EO47" s="168">
        <v>8511089</v>
      </c>
      <c r="EP47" s="168">
        <v>71495569</v>
      </c>
      <c r="EQ47" s="168">
        <v>69792861</v>
      </c>
      <c r="ER47" s="168">
        <v>80006658</v>
      </c>
      <c r="ES47" s="168">
        <v>84712211</v>
      </c>
      <c r="ET47" s="168">
        <v>119098601</v>
      </c>
      <c r="EU47" s="168">
        <v>111059587</v>
      </c>
      <c r="EV47" s="168">
        <v>203810812</v>
      </c>
      <c r="EW47" s="168">
        <v>1087995</v>
      </c>
      <c r="EX47" s="168">
        <v>2788700</v>
      </c>
      <c r="EY47" s="168">
        <v>2786329</v>
      </c>
      <c r="EZ47" s="168">
        <v>3876695</v>
      </c>
      <c r="FA47" s="21"/>
      <c r="FB47" s="21"/>
      <c r="FC47" s="21"/>
      <c r="FD47" s="21"/>
      <c r="FE47" s="168">
        <v>5003</v>
      </c>
      <c r="FF47" s="168">
        <v>2416042</v>
      </c>
      <c r="FG47" s="168">
        <v>2251363</v>
      </c>
      <c r="FH47" s="168">
        <v>2421045</v>
      </c>
      <c r="FI47" s="168">
        <v>-369472</v>
      </c>
      <c r="FJ47" s="168">
        <v>-71874</v>
      </c>
      <c r="FK47" s="21"/>
      <c r="FL47" s="21"/>
      <c r="FM47" s="168">
        <v>227450</v>
      </c>
      <c r="FN47" s="168">
        <v>345271</v>
      </c>
      <c r="FO47" s="168">
        <v>458859</v>
      </c>
      <c r="FP47" s="168">
        <v>278884</v>
      </c>
      <c r="FQ47" s="168">
        <v>162584</v>
      </c>
      <c r="FR47" s="168">
        <v>104777</v>
      </c>
      <c r="FS47" s="168">
        <v>422963</v>
      </c>
      <c r="FT47" s="21"/>
      <c r="FU47" s="168">
        <v>-40183</v>
      </c>
      <c r="FV47" s="168">
        <v>-7570</v>
      </c>
      <c r="FW47" s="168">
        <v>534088</v>
      </c>
      <c r="FX47" s="168">
        <v>569348</v>
      </c>
      <c r="FY47" s="168">
        <v>13465</v>
      </c>
      <c r="FZ47" s="168">
        <v>16993</v>
      </c>
      <c r="GA47" s="21"/>
      <c r="GB47" s="21"/>
      <c r="GC47" s="168">
        <v>74114</v>
      </c>
      <c r="GD47" s="168">
        <v>128377</v>
      </c>
      <c r="GE47" s="168">
        <v>657422</v>
      </c>
      <c r="GF47" s="168">
        <v>423904</v>
      </c>
      <c r="GG47" s="21"/>
      <c r="GH47" s="21"/>
      <c r="GI47" s="21"/>
      <c r="GJ47" s="21"/>
      <c r="GK47" s="168">
        <v>8264</v>
      </c>
      <c r="GL47" s="21"/>
      <c r="GM47" s="168">
        <v>973339</v>
      </c>
      <c r="GN47" s="168">
        <v>65950</v>
      </c>
      <c r="GO47" s="168">
        <v>1135924</v>
      </c>
      <c r="GP47" s="168">
        <v>170728</v>
      </c>
      <c r="GQ47" s="21"/>
      <c r="GR47" s="21"/>
      <c r="GS47" s="168">
        <v>959465</v>
      </c>
      <c r="GT47" s="168">
        <v>48957</v>
      </c>
      <c r="GU47" s="168">
        <v>1109272</v>
      </c>
      <c r="GV47" s="168">
        <v>624155</v>
      </c>
      <c r="GW47" s="168">
        <v>739800</v>
      </c>
      <c r="GX47" s="168">
        <v>552281</v>
      </c>
      <c r="GY47" s="168">
        <v>92428510</v>
      </c>
      <c r="GZ47" s="168">
        <v>98108248</v>
      </c>
      <c r="HA47" s="168">
        <v>22591665</v>
      </c>
      <c r="HB47" s="168">
        <v>30417828</v>
      </c>
      <c r="HC47" s="168">
        <v>11968498</v>
      </c>
      <c r="HD47" s="168">
        <v>13670338</v>
      </c>
      <c r="HE47" s="168">
        <v>132628</v>
      </c>
      <c r="HF47" s="168">
        <v>115010</v>
      </c>
      <c r="HG47" s="168">
        <v>1042403</v>
      </c>
      <c r="HH47" s="168">
        <v>1140865</v>
      </c>
      <c r="HI47" s="168">
        <v>4642</v>
      </c>
      <c r="HJ47" s="168">
        <v>7181</v>
      </c>
      <c r="HK47" s="21"/>
      <c r="HL47" s="21"/>
      <c r="HM47" s="21"/>
      <c r="HN47" s="21"/>
      <c r="HO47" s="168">
        <v>5485567</v>
      </c>
      <c r="HP47" s="168">
        <v>5436972</v>
      </c>
      <c r="HQ47" s="168">
        <v>177</v>
      </c>
      <c r="HR47" s="168">
        <v>43</v>
      </c>
      <c r="HS47" s="21"/>
      <c r="HT47" s="168">
        <v>202</v>
      </c>
      <c r="HU47" s="168">
        <v>4078611</v>
      </c>
      <c r="HV47" s="168">
        <v>4295516</v>
      </c>
      <c r="HW47" s="21"/>
      <c r="HX47" s="21"/>
      <c r="HY47" s="168">
        <v>685951</v>
      </c>
      <c r="HZ47" s="168">
        <v>713198</v>
      </c>
      <c r="IA47" s="168">
        <v>2577914</v>
      </c>
      <c r="IB47" s="168">
        <v>3185144</v>
      </c>
      <c r="IC47" s="21"/>
      <c r="ID47" s="168">
        <v>30376</v>
      </c>
      <c r="IE47" s="168">
        <v>1965736</v>
      </c>
      <c r="IF47" s="168">
        <v>2072829</v>
      </c>
      <c r="IG47" s="168">
        <v>1259456</v>
      </c>
      <c r="IH47" s="168">
        <v>1137455</v>
      </c>
      <c r="II47" s="21"/>
      <c r="IJ47" s="21"/>
      <c r="IK47" s="168">
        <v>8000</v>
      </c>
      <c r="IL47" s="168">
        <v>21343</v>
      </c>
      <c r="IM47" s="168">
        <v>-19728</v>
      </c>
      <c r="IN47" s="168">
        <v>43348</v>
      </c>
      <c r="IO47" s="168">
        <v>51</v>
      </c>
      <c r="IP47" s="168">
        <v>13</v>
      </c>
      <c r="IQ47" s="168">
        <v>23335</v>
      </c>
      <c r="IR47" s="21"/>
      <c r="IS47" s="21"/>
      <c r="IT47" s="21"/>
      <c r="IU47" s="168">
        <v>1999301</v>
      </c>
      <c r="IV47" s="168">
        <v>804380</v>
      </c>
      <c r="IW47" s="168">
        <v>2193118</v>
      </c>
      <c r="IX47" s="168">
        <v>831169</v>
      </c>
      <c r="IY47" s="168">
        <v>-193817</v>
      </c>
      <c r="IZ47" s="168">
        <v>-26789</v>
      </c>
      <c r="JA47" s="168">
        <v>4366853</v>
      </c>
      <c r="JB47" s="168">
        <v>4952261</v>
      </c>
      <c r="JC47" s="168">
        <v>28</v>
      </c>
      <c r="JD47" s="21"/>
      <c r="JE47" s="168">
        <v>13260071</v>
      </c>
      <c r="JF47" s="168">
        <v>12982231</v>
      </c>
      <c r="JG47" s="168">
        <v>36439</v>
      </c>
      <c r="JH47" s="168">
        <v>15382</v>
      </c>
      <c r="JI47" s="168">
        <v>160008729</v>
      </c>
      <c r="JJ47" s="168">
        <v>171959107</v>
      </c>
      <c r="JK47" s="168">
        <v>1259634</v>
      </c>
      <c r="JL47" s="168">
        <v>1167879</v>
      </c>
      <c r="JM47" s="168">
        <v>162201847</v>
      </c>
      <c r="JN47" s="168">
        <v>172790276</v>
      </c>
      <c r="JO47" s="168">
        <v>1065817</v>
      </c>
      <c r="JP47" s="168">
        <v>1141090</v>
      </c>
      <c r="JQ47" s="168">
        <v>4672315</v>
      </c>
      <c r="JR47" s="168">
        <v>520590</v>
      </c>
      <c r="JS47" s="168">
        <v>161263</v>
      </c>
      <c r="JT47" s="168">
        <v>441203</v>
      </c>
      <c r="JU47" s="21"/>
      <c r="JV47" s="21"/>
      <c r="JW47" s="168">
        <v>157805641</v>
      </c>
      <c r="JX47" s="168">
        <v>167750761</v>
      </c>
      <c r="JY47" s="21"/>
      <c r="JZ47" s="21"/>
      <c r="KA47" s="168">
        <v>22136756</v>
      </c>
      <c r="KB47" s="168">
        <v>29551933</v>
      </c>
      <c r="KC47" s="21"/>
      <c r="KD47" s="21"/>
      <c r="KE47" s="168">
        <v>4981328</v>
      </c>
      <c r="KF47" s="168">
        <v>4449020</v>
      </c>
      <c r="KG47" s="21"/>
      <c r="KH47" s="21"/>
      <c r="KI47" s="168">
        <v>130687557</v>
      </c>
      <c r="KJ47" s="168">
        <v>133749808</v>
      </c>
      <c r="KK47" s="21"/>
      <c r="KL47" s="21"/>
      <c r="KM47" s="21"/>
      <c r="KN47" s="21"/>
      <c r="KO47" s="21"/>
      <c r="KP47" s="21"/>
      <c r="KQ47" s="168">
        <v>506924</v>
      </c>
      <c r="KR47" s="168">
        <v>164515</v>
      </c>
      <c r="KS47" s="21"/>
      <c r="KT47" s="21"/>
      <c r="KU47" s="168">
        <v>32181776</v>
      </c>
      <c r="KV47" s="168">
        <v>32102465</v>
      </c>
      <c r="KW47" s="21"/>
      <c r="KX47" s="21"/>
      <c r="KY47" s="168">
        <v>58815</v>
      </c>
      <c r="KZ47" s="168">
        <v>42042</v>
      </c>
      <c r="LA47" s="168">
        <v>2077361</v>
      </c>
      <c r="LB47" s="168">
        <v>2091286</v>
      </c>
      <c r="LC47" s="21"/>
      <c r="LD47" s="21"/>
      <c r="LE47" s="21"/>
      <c r="LF47" s="21"/>
      <c r="LG47" s="21"/>
      <c r="LH47" s="21"/>
      <c r="LI47" s="168">
        <v>7683738</v>
      </c>
      <c r="LJ47" s="168">
        <v>6658741</v>
      </c>
      <c r="LK47" s="168">
        <v>10494206</v>
      </c>
      <c r="LL47" s="168">
        <v>11520465</v>
      </c>
      <c r="LM47" s="168">
        <v>2059300</v>
      </c>
      <c r="LN47" s="168">
        <v>2504960</v>
      </c>
      <c r="LO47" s="21"/>
      <c r="LP47" s="21"/>
      <c r="LQ47" s="21"/>
      <c r="LR47" s="21"/>
      <c r="LS47" s="21"/>
      <c r="LT47" s="21"/>
      <c r="LU47" s="21"/>
      <c r="LV47" s="21"/>
      <c r="LW47" s="168">
        <v>4703</v>
      </c>
      <c r="LX47" s="168">
        <v>4703</v>
      </c>
      <c r="LY47" s="21"/>
      <c r="LZ47" s="21"/>
      <c r="MA47" s="168">
        <v>44667765</v>
      </c>
      <c r="MB47" s="168">
        <v>38234785</v>
      </c>
      <c r="MC47" s="168">
        <v>493066</v>
      </c>
      <c r="MD47" s="168">
        <v>369917</v>
      </c>
      <c r="ME47" s="21"/>
      <c r="MF47" s="21"/>
      <c r="MG47" s="168">
        <v>178683</v>
      </c>
      <c r="MH47" s="168">
        <v>200476</v>
      </c>
      <c r="MI47" s="168">
        <v>20199</v>
      </c>
      <c r="MJ47" s="168">
        <v>20199</v>
      </c>
      <c r="MK47" s="21"/>
      <c r="ML47" s="21"/>
      <c r="MM47" s="168">
        <v>236435</v>
      </c>
      <c r="MN47" s="168">
        <v>247663</v>
      </c>
      <c r="MO47" s="168">
        <v>3242227</v>
      </c>
      <c r="MP47" s="168">
        <v>2587881</v>
      </c>
      <c r="MQ47" s="168">
        <v>577525</v>
      </c>
      <c r="MR47" s="168">
        <v>574164</v>
      </c>
      <c r="MS47" s="21"/>
      <c r="MT47" s="21"/>
      <c r="MU47" s="168">
        <v>27966</v>
      </c>
      <c r="MV47" s="168">
        <v>27966</v>
      </c>
      <c r="MW47" s="168">
        <v>2173637</v>
      </c>
      <c r="MX47" s="168">
        <v>2173637</v>
      </c>
      <c r="MY47" s="168">
        <v>5299521</v>
      </c>
      <c r="MZ47" s="168">
        <v>5178660</v>
      </c>
      <c r="NA47" s="168">
        <v>732775</v>
      </c>
      <c r="NB47" s="168">
        <v>721093</v>
      </c>
      <c r="NC47" s="168">
        <v>959465</v>
      </c>
      <c r="ND47" s="168">
        <v>48957</v>
      </c>
      <c r="NE47" s="21"/>
      <c r="NF47" s="21"/>
      <c r="NG47" s="168">
        <v>48314018</v>
      </c>
      <c r="NH47" s="168">
        <v>47368358</v>
      </c>
      <c r="NI47" s="168">
        <v>585890</v>
      </c>
      <c r="NJ47" s="168">
        <v>585619</v>
      </c>
      <c r="NK47" s="21"/>
      <c r="NL47" s="21"/>
      <c r="NM47" s="168">
        <v>66200249</v>
      </c>
      <c r="NN47" s="168">
        <v>59743088</v>
      </c>
      <c r="NO47" s="168">
        <v>119098601</v>
      </c>
      <c r="NP47" s="168">
        <v>111059587</v>
      </c>
      <c r="NQ47" s="168" t="s">
        <v>3328</v>
      </c>
      <c r="NR47" s="168" t="s">
        <v>1203</v>
      </c>
      <c r="NS47" s="168" t="s">
        <v>770</v>
      </c>
      <c r="NT47" s="168" t="s">
        <v>771</v>
      </c>
      <c r="NU47" s="168">
        <v>2501</v>
      </c>
      <c r="NV47" s="168" t="s">
        <v>2104</v>
      </c>
      <c r="NW47" s="168" t="s">
        <v>28</v>
      </c>
      <c r="NX47" s="168" t="s">
        <v>25</v>
      </c>
      <c r="NY47" s="169">
        <v>42916</v>
      </c>
      <c r="NZ47" s="169">
        <v>42551</v>
      </c>
      <c r="OA47" s="169">
        <v>43089</v>
      </c>
      <c r="OB47" s="168" t="s">
        <v>3329</v>
      </c>
      <c r="OC47" s="168">
        <v>12</v>
      </c>
      <c r="OD47" s="168" t="s">
        <v>2105</v>
      </c>
      <c r="OE47" s="168" t="s">
        <v>2488</v>
      </c>
      <c r="OF47" s="168" t="s">
        <v>3330</v>
      </c>
      <c r="OG47" s="168" t="s">
        <v>3331</v>
      </c>
      <c r="OH47" s="168" t="s">
        <v>923</v>
      </c>
      <c r="OI47" s="168" t="s">
        <v>766</v>
      </c>
      <c r="OJ47" s="168" t="s">
        <v>3240</v>
      </c>
      <c r="OK47" s="168" t="s">
        <v>1202</v>
      </c>
    </row>
    <row r="48" spans="1:401" x14ac:dyDescent="0.2">
      <c r="A48" s="170" t="str">
        <f>Liste[[#This Row],[Siren]]</f>
        <v>429317118</v>
      </c>
      <c r="B48" s="198" t="str">
        <f>Liste[[#This Row],[Dénomination]]&amp;" - comptes "&amp;YEAR(Liste[[#This Row],[Date de cloture de l''exercice]])</f>
        <v>GROUPE PREMIUM - comptes 2017</v>
      </c>
      <c r="C48" s="21"/>
      <c r="D48" s="21"/>
      <c r="E48" s="168">
        <v>2621792</v>
      </c>
      <c r="F48" s="168">
        <v>1355674</v>
      </c>
      <c r="G48" s="168">
        <v>2895667</v>
      </c>
      <c r="H48" s="168">
        <v>3977467</v>
      </c>
      <c r="I48" s="168">
        <v>1216202</v>
      </c>
      <c r="J48" s="168">
        <v>312904</v>
      </c>
      <c r="K48" s="168">
        <v>253845</v>
      </c>
      <c r="L48" s="168">
        <v>1529106</v>
      </c>
      <c r="M48" s="21"/>
      <c r="N48" s="168">
        <v>188102</v>
      </c>
      <c r="O48" s="168">
        <v>198391</v>
      </c>
      <c r="P48" s="168">
        <v>188102</v>
      </c>
      <c r="Q48" s="168">
        <v>16412</v>
      </c>
      <c r="R48" s="168">
        <v>2748</v>
      </c>
      <c r="S48" s="168">
        <v>5990</v>
      </c>
      <c r="T48" s="168">
        <v>19159</v>
      </c>
      <c r="U48" s="21"/>
      <c r="V48" s="168">
        <v>362901</v>
      </c>
      <c r="W48" s="168">
        <v>172906</v>
      </c>
      <c r="X48" s="168">
        <v>362901</v>
      </c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168">
        <v>32640</v>
      </c>
      <c r="AM48" s="168">
        <v>18</v>
      </c>
      <c r="AN48" s="168">
        <v>32640</v>
      </c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168">
        <v>598642</v>
      </c>
      <c r="BA48" s="168">
        <v>402023</v>
      </c>
      <c r="BB48" s="168">
        <v>598642</v>
      </c>
      <c r="BC48" s="168">
        <v>28050</v>
      </c>
      <c r="BD48" s="168">
        <v>4454354</v>
      </c>
      <c r="BE48" s="168">
        <v>3959300</v>
      </c>
      <c r="BF48" s="168">
        <v>4482404</v>
      </c>
      <c r="BG48" s="168">
        <v>1085476</v>
      </c>
      <c r="BH48" s="168">
        <v>156718</v>
      </c>
      <c r="BI48" s="168">
        <v>125628</v>
      </c>
      <c r="BJ48" s="168">
        <v>1242194</v>
      </c>
      <c r="BK48" s="168">
        <v>2840438</v>
      </c>
      <c r="BL48" s="168">
        <v>3083610</v>
      </c>
      <c r="BM48" s="168">
        <v>3307460</v>
      </c>
      <c r="BN48" s="168">
        <v>5924048</v>
      </c>
      <c r="BO48" s="21"/>
      <c r="BP48" s="21"/>
      <c r="BQ48" s="168">
        <v>53940</v>
      </c>
      <c r="BR48" s="21"/>
      <c r="BS48" s="21"/>
      <c r="BT48" s="21"/>
      <c r="BU48" s="21"/>
      <c r="BV48" s="21"/>
      <c r="BW48" s="21"/>
      <c r="BX48" s="168">
        <v>3394313</v>
      </c>
      <c r="BY48" s="168">
        <v>4781690</v>
      </c>
      <c r="BZ48" s="168">
        <v>3394313</v>
      </c>
      <c r="CA48" s="21"/>
      <c r="CB48" s="21"/>
      <c r="CC48" s="21"/>
      <c r="CD48" s="168">
        <v>3035375</v>
      </c>
      <c r="CE48" s="168">
        <v>85149</v>
      </c>
      <c r="CF48" s="168">
        <v>119007</v>
      </c>
      <c r="CG48" s="168">
        <v>3120524</v>
      </c>
      <c r="CH48" s="21"/>
      <c r="CI48" s="21"/>
      <c r="CJ48" s="21"/>
      <c r="CK48" s="21"/>
      <c r="CL48" s="21"/>
      <c r="CM48" s="21"/>
      <c r="CN48" s="21"/>
      <c r="CO48" s="21"/>
      <c r="CP48" s="21"/>
      <c r="CQ48" s="168">
        <v>2927271</v>
      </c>
      <c r="CR48" s="168">
        <v>2837271</v>
      </c>
      <c r="CS48" s="168">
        <v>2927271</v>
      </c>
      <c r="CT48" s="21"/>
      <c r="CU48" s="21"/>
      <c r="CV48" s="21"/>
      <c r="CW48" s="21"/>
      <c r="CX48" s="21"/>
      <c r="CY48" s="21"/>
      <c r="CZ48" s="21"/>
      <c r="DA48" s="21"/>
      <c r="DB48" s="21"/>
      <c r="DC48" s="168">
        <v>10944</v>
      </c>
      <c r="DD48" s="21"/>
      <c r="DE48" s="168">
        <v>10944</v>
      </c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168">
        <v>8193902</v>
      </c>
      <c r="EL48" s="168">
        <v>7953550</v>
      </c>
      <c r="EM48" s="168">
        <v>7897640</v>
      </c>
      <c r="EN48" s="168">
        <v>16147451</v>
      </c>
      <c r="EO48" s="168">
        <v>2649842</v>
      </c>
      <c r="EP48" s="168">
        <v>13057982</v>
      </c>
      <c r="EQ48" s="168">
        <v>13800282</v>
      </c>
      <c r="ER48" s="168">
        <v>15707824</v>
      </c>
      <c r="ES48" s="168">
        <v>10843744</v>
      </c>
      <c r="ET48" s="168">
        <v>21011531</v>
      </c>
      <c r="EU48" s="168">
        <v>21697922</v>
      </c>
      <c r="EV48" s="168">
        <v>31855275</v>
      </c>
      <c r="EW48" s="21"/>
      <c r="EX48" s="168">
        <v>823203</v>
      </c>
      <c r="EY48" s="168">
        <v>823203</v>
      </c>
      <c r="EZ48" s="168">
        <v>823203</v>
      </c>
      <c r="FA48" s="21"/>
      <c r="FB48" s="21"/>
      <c r="FC48" s="21"/>
      <c r="FD48" s="21"/>
      <c r="FE48" s="21"/>
      <c r="FF48" s="168">
        <v>3222359</v>
      </c>
      <c r="FG48" s="168">
        <v>1761583</v>
      </c>
      <c r="FH48" s="168">
        <v>3222359</v>
      </c>
      <c r="FI48" s="168">
        <v>74666</v>
      </c>
      <c r="FJ48" s="168">
        <v>-126203</v>
      </c>
      <c r="FK48" s="21"/>
      <c r="FL48" s="21"/>
      <c r="FM48" s="168">
        <v>58088</v>
      </c>
      <c r="FN48" s="168">
        <v>200975</v>
      </c>
      <c r="FO48" s="168">
        <v>2459</v>
      </c>
      <c r="FP48" s="168">
        <v>411848</v>
      </c>
      <c r="FQ48" s="168">
        <v>33858</v>
      </c>
      <c r="FR48" s="168">
        <v>33858</v>
      </c>
      <c r="FS48" s="168">
        <v>55000</v>
      </c>
      <c r="FT48" s="168">
        <v>2937611</v>
      </c>
      <c r="FU48" s="21"/>
      <c r="FV48" s="21"/>
      <c r="FW48" s="168">
        <v>625493</v>
      </c>
      <c r="FX48" s="168">
        <v>436363</v>
      </c>
      <c r="FY48" s="168">
        <v>88369</v>
      </c>
      <c r="FZ48" s="168">
        <v>114782</v>
      </c>
      <c r="GA48" s="168">
        <v>172088</v>
      </c>
      <c r="GB48" s="168">
        <v>208520</v>
      </c>
      <c r="GC48" s="168">
        <v>15437</v>
      </c>
      <c r="GD48" s="168">
        <v>626416</v>
      </c>
      <c r="GE48" s="168">
        <v>5822</v>
      </c>
      <c r="GF48" s="168">
        <v>2385415</v>
      </c>
      <c r="GG48" s="21"/>
      <c r="GH48" s="21"/>
      <c r="GI48" s="21"/>
      <c r="GJ48" s="21"/>
      <c r="GK48" s="168">
        <v>168954</v>
      </c>
      <c r="GL48" s="168">
        <v>412400</v>
      </c>
      <c r="GM48" s="168">
        <v>1002156</v>
      </c>
      <c r="GN48" s="168">
        <v>1353202</v>
      </c>
      <c r="GO48" s="21"/>
      <c r="GP48" s="21"/>
      <c r="GQ48" s="21"/>
      <c r="GR48" s="21"/>
      <c r="GS48" s="21"/>
      <c r="GT48" s="21"/>
      <c r="GU48" s="168">
        <v>115547</v>
      </c>
      <c r="GV48" s="168">
        <v>3550434</v>
      </c>
      <c r="GW48" s="168">
        <v>190213</v>
      </c>
      <c r="GX48" s="168">
        <v>3424231</v>
      </c>
      <c r="GY48" s="21"/>
      <c r="GZ48" s="21"/>
      <c r="HA48" s="21"/>
      <c r="HB48" s="21"/>
      <c r="HC48" s="168">
        <v>11443526</v>
      </c>
      <c r="HD48" s="168">
        <v>10475132</v>
      </c>
      <c r="HE48" s="168">
        <v>181501</v>
      </c>
      <c r="HF48" s="168">
        <v>137888</v>
      </c>
      <c r="HG48" s="168">
        <v>26409</v>
      </c>
      <c r="HH48" s="168">
        <v>22772</v>
      </c>
      <c r="HI48" s="168">
        <v>43110</v>
      </c>
      <c r="HJ48" s="168">
        <v>39421</v>
      </c>
      <c r="HK48" s="21"/>
      <c r="HL48" s="21"/>
      <c r="HM48" s="21"/>
      <c r="HN48" s="21"/>
      <c r="HO48" s="168">
        <v>2535125</v>
      </c>
      <c r="HP48" s="168">
        <v>2729461</v>
      </c>
      <c r="HQ48" s="21"/>
      <c r="HR48" s="168">
        <v>363</v>
      </c>
      <c r="HS48" s="21"/>
      <c r="HT48" s="21"/>
      <c r="HU48" s="168">
        <v>409791</v>
      </c>
      <c r="HV48" s="168">
        <v>494095</v>
      </c>
      <c r="HW48" s="21"/>
      <c r="HX48" s="21"/>
      <c r="HY48" s="168">
        <v>641360</v>
      </c>
      <c r="HZ48" s="168">
        <v>681513</v>
      </c>
      <c r="IA48" s="168">
        <v>274842</v>
      </c>
      <c r="IB48" s="168">
        <v>498735</v>
      </c>
      <c r="IC48" s="21"/>
      <c r="ID48" s="168">
        <v>17000</v>
      </c>
      <c r="IE48" s="168">
        <v>1569486</v>
      </c>
      <c r="IF48" s="168">
        <v>1559239</v>
      </c>
      <c r="IG48" s="168">
        <v>73498</v>
      </c>
      <c r="IH48" s="168">
        <v>56611</v>
      </c>
      <c r="II48" s="21"/>
      <c r="IJ48" s="21"/>
      <c r="IK48" s="21"/>
      <c r="IL48" s="21"/>
      <c r="IM48" s="21"/>
      <c r="IN48" s="21"/>
      <c r="IO48" s="168">
        <v>4303</v>
      </c>
      <c r="IP48" s="168">
        <v>-1877</v>
      </c>
      <c r="IQ48" s="21"/>
      <c r="IR48" s="21"/>
      <c r="IS48" s="21"/>
      <c r="IT48" s="21"/>
      <c r="IU48" s="168">
        <v>2195402</v>
      </c>
      <c r="IV48" s="168">
        <v>1954501</v>
      </c>
      <c r="IW48" s="168">
        <v>2221188</v>
      </c>
      <c r="IX48" s="168">
        <v>2005293</v>
      </c>
      <c r="IY48" s="168">
        <v>-25786</v>
      </c>
      <c r="IZ48" s="168">
        <v>-50792</v>
      </c>
      <c r="JA48" s="168">
        <v>1338566</v>
      </c>
      <c r="JB48" s="168">
        <v>1231171</v>
      </c>
      <c r="JC48" s="168">
        <v>17000</v>
      </c>
      <c r="JD48" s="168">
        <v>2287</v>
      </c>
      <c r="JE48" s="168">
        <v>5742224</v>
      </c>
      <c r="JF48" s="168">
        <v>6252223</v>
      </c>
      <c r="JG48" s="168">
        <v>8534</v>
      </c>
      <c r="JH48" s="21"/>
      <c r="JI48" s="168">
        <v>22797855</v>
      </c>
      <c r="JJ48" s="168">
        <v>22828287</v>
      </c>
      <c r="JK48" s="168">
        <v>73498</v>
      </c>
      <c r="JL48" s="168">
        <v>73973</v>
      </c>
      <c r="JM48" s="168">
        <v>25019043</v>
      </c>
      <c r="JN48" s="168">
        <v>24833579</v>
      </c>
      <c r="JO48" s="168">
        <v>47712</v>
      </c>
      <c r="JP48" s="168">
        <v>23181</v>
      </c>
      <c r="JQ48" s="21"/>
      <c r="JR48" s="21"/>
      <c r="JS48" s="21"/>
      <c r="JT48" s="21"/>
      <c r="JU48" s="168">
        <v>257476</v>
      </c>
      <c r="JV48" s="168">
        <v>23371356</v>
      </c>
      <c r="JW48" s="168">
        <v>23628833</v>
      </c>
      <c r="JX48" s="168">
        <v>23562988</v>
      </c>
      <c r="JY48" s="21"/>
      <c r="JZ48" s="21"/>
      <c r="KA48" s="21"/>
      <c r="KB48" s="21"/>
      <c r="KC48" s="168">
        <v>257476</v>
      </c>
      <c r="KD48" s="168">
        <v>23371356</v>
      </c>
      <c r="KE48" s="168">
        <v>23628833</v>
      </c>
      <c r="KF48" s="168">
        <v>23562988</v>
      </c>
      <c r="KG48" s="21"/>
      <c r="KH48" s="21"/>
      <c r="KI48" s="21"/>
      <c r="KJ48" s="21"/>
      <c r="KK48" s="21"/>
      <c r="KL48" s="21"/>
      <c r="KM48" s="21"/>
      <c r="KN48" s="21"/>
      <c r="KO48" s="21"/>
      <c r="KP48" s="21"/>
      <c r="KQ48" s="168">
        <v>361034</v>
      </c>
      <c r="KR48" s="168">
        <v>524447</v>
      </c>
      <c r="KS48" s="21"/>
      <c r="KT48" s="21"/>
      <c r="KU48" s="21"/>
      <c r="KV48" s="21"/>
      <c r="KW48" s="21"/>
      <c r="KX48" s="21"/>
      <c r="KY48" s="21"/>
      <c r="KZ48" s="21"/>
      <c r="LA48" s="168">
        <v>2999700</v>
      </c>
      <c r="LB48" s="168">
        <v>3000000</v>
      </c>
      <c r="LC48" s="21"/>
      <c r="LD48" s="21"/>
      <c r="LE48" s="21"/>
      <c r="LF48" s="21"/>
      <c r="LG48" s="21"/>
      <c r="LH48" s="21"/>
      <c r="LI48" s="168">
        <v>1918171</v>
      </c>
      <c r="LJ48" s="168">
        <v>2006019</v>
      </c>
      <c r="LK48" s="168">
        <v>2104401</v>
      </c>
      <c r="LL48" s="168">
        <v>2117820</v>
      </c>
      <c r="LM48" s="21"/>
      <c r="LN48" s="21"/>
      <c r="LO48" s="21"/>
      <c r="LP48" s="21"/>
      <c r="LQ48" s="21"/>
      <c r="LR48" s="21"/>
      <c r="LS48" s="21"/>
      <c r="LT48" s="21"/>
      <c r="LU48" s="21"/>
      <c r="LV48" s="21"/>
      <c r="LW48" s="21"/>
      <c r="LX48" s="21"/>
      <c r="LY48" s="21"/>
      <c r="LZ48" s="21"/>
      <c r="MA48" s="168">
        <v>2981219</v>
      </c>
      <c r="MB48" s="168">
        <v>3598167</v>
      </c>
      <c r="MC48" s="168">
        <v>8244</v>
      </c>
      <c r="MD48" s="168">
        <v>27</v>
      </c>
      <c r="ME48" s="21"/>
      <c r="MF48" s="21"/>
      <c r="MG48" s="21"/>
      <c r="MH48" s="21"/>
      <c r="MI48" s="21"/>
      <c r="MJ48" s="21"/>
      <c r="MK48" s="21"/>
      <c r="ML48" s="21"/>
      <c r="MM48" s="168">
        <v>75517</v>
      </c>
      <c r="MN48" s="168">
        <v>66216</v>
      </c>
      <c r="MO48" s="21"/>
      <c r="MP48" s="21"/>
      <c r="MQ48" s="168">
        <v>1675330</v>
      </c>
      <c r="MR48" s="168">
        <v>1829437</v>
      </c>
      <c r="MS48" s="21"/>
      <c r="MT48" s="21"/>
      <c r="MU48" s="168">
        <v>5703827</v>
      </c>
      <c r="MV48" s="168">
        <v>5109024</v>
      </c>
      <c r="MW48" s="168">
        <v>300000</v>
      </c>
      <c r="MX48" s="168">
        <v>300000</v>
      </c>
      <c r="MY48" s="168">
        <v>694417</v>
      </c>
      <c r="MZ48" s="168">
        <v>694417</v>
      </c>
      <c r="NA48" s="21"/>
      <c r="NB48" s="21"/>
      <c r="NC48" s="168">
        <v>1002156</v>
      </c>
      <c r="ND48" s="168">
        <v>1353202</v>
      </c>
      <c r="NE48" s="21"/>
      <c r="NF48" s="21"/>
      <c r="NG48" s="168">
        <v>10700100</v>
      </c>
      <c r="NH48" s="168">
        <v>10456644</v>
      </c>
      <c r="NI48" s="21"/>
      <c r="NJ48" s="21"/>
      <c r="NK48" s="168">
        <v>1187515</v>
      </c>
      <c r="NL48" s="168">
        <v>1099146</v>
      </c>
      <c r="NM48" s="168">
        <v>7448586</v>
      </c>
      <c r="NN48" s="168">
        <v>8312695</v>
      </c>
      <c r="NO48" s="168">
        <v>21011531</v>
      </c>
      <c r="NP48" s="168">
        <v>21697922</v>
      </c>
      <c r="NQ48" s="168" t="s">
        <v>814</v>
      </c>
      <c r="NR48" s="168" t="s">
        <v>769</v>
      </c>
      <c r="NS48" s="168" t="s">
        <v>770</v>
      </c>
      <c r="NT48" s="168" t="s">
        <v>771</v>
      </c>
      <c r="NU48" s="168">
        <v>9201</v>
      </c>
      <c r="NV48" s="168" t="s">
        <v>2104</v>
      </c>
      <c r="NW48" s="168" t="s">
        <v>28</v>
      </c>
      <c r="NX48" s="168" t="s">
        <v>25</v>
      </c>
      <c r="NY48" s="169">
        <v>42916</v>
      </c>
      <c r="NZ48" s="169">
        <v>42551</v>
      </c>
      <c r="OA48" s="169">
        <v>43112</v>
      </c>
      <c r="OB48" s="168" t="s">
        <v>1057</v>
      </c>
      <c r="OC48" s="168">
        <v>12</v>
      </c>
      <c r="OD48" s="168" t="s">
        <v>2106</v>
      </c>
      <c r="OE48" s="168" t="s">
        <v>2162</v>
      </c>
      <c r="OF48" s="168" t="s">
        <v>2255</v>
      </c>
      <c r="OG48" s="168" t="s">
        <v>1862</v>
      </c>
      <c r="OH48" s="168" t="s">
        <v>777</v>
      </c>
      <c r="OI48" s="168" t="s">
        <v>766</v>
      </c>
      <c r="OJ48" s="168" t="s">
        <v>3240</v>
      </c>
      <c r="OK48" s="168" t="s">
        <v>767</v>
      </c>
    </row>
    <row r="49" spans="1:401" x14ac:dyDescent="0.2">
      <c r="A49" s="170" t="str">
        <f>Liste[[#This Row],[Siren]]</f>
        <v>820172013</v>
      </c>
      <c r="B49" s="198" t="str">
        <f>Liste[[#This Row],[Dénomination]]&amp;" - comptes "&amp;YEAR(Liste[[#This Row],[Date de cloture de l''exercice]])</f>
        <v>JVS NEXT - comptes 2017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168">
        <v>143132</v>
      </c>
      <c r="O49" s="168">
        <v>138993</v>
      </c>
      <c r="P49" s="168">
        <v>143132</v>
      </c>
      <c r="Q49" s="21"/>
      <c r="R49" s="168">
        <v>37375</v>
      </c>
      <c r="S49" s="168">
        <v>6900</v>
      </c>
      <c r="T49" s="168">
        <v>37375</v>
      </c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168">
        <v>224614</v>
      </c>
      <c r="BD49" s="168">
        <v>5978895</v>
      </c>
      <c r="BE49" s="168">
        <v>4807908</v>
      </c>
      <c r="BF49" s="168">
        <v>6203509</v>
      </c>
      <c r="BG49" s="168">
        <v>711297</v>
      </c>
      <c r="BH49" s="168">
        <v>105623</v>
      </c>
      <c r="BI49" s="168">
        <v>106774</v>
      </c>
      <c r="BJ49" s="168">
        <v>816920</v>
      </c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168">
        <v>5044312</v>
      </c>
      <c r="BY49" s="168">
        <v>2937318</v>
      </c>
      <c r="BZ49" s="168">
        <v>5044312</v>
      </c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168">
        <v>445636</v>
      </c>
      <c r="CU49" s="168">
        <v>389691</v>
      </c>
      <c r="CV49" s="168">
        <v>71105</v>
      </c>
      <c r="CW49" s="168">
        <v>835327</v>
      </c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168">
        <v>6665987</v>
      </c>
      <c r="EL49" s="168">
        <v>30671022</v>
      </c>
      <c r="EM49" s="168">
        <v>30561100</v>
      </c>
      <c r="EN49" s="168">
        <v>37337009</v>
      </c>
      <c r="EO49" s="168">
        <v>453883</v>
      </c>
      <c r="EP49" s="168">
        <v>16632529</v>
      </c>
      <c r="EQ49" s="168">
        <v>15174128</v>
      </c>
      <c r="ER49" s="168">
        <v>17086412</v>
      </c>
      <c r="ES49" s="168">
        <v>7119870</v>
      </c>
      <c r="ET49" s="168">
        <v>47303551</v>
      </c>
      <c r="EU49" s="168">
        <v>45735228</v>
      </c>
      <c r="EV49" s="168">
        <v>54423421</v>
      </c>
      <c r="EW49" s="21"/>
      <c r="EX49" s="21"/>
      <c r="EY49" s="21"/>
      <c r="EZ49" s="21"/>
      <c r="FA49" s="21"/>
      <c r="FB49" s="21"/>
      <c r="FC49" s="21"/>
      <c r="FD49" s="21"/>
      <c r="FE49" s="21"/>
      <c r="FF49" s="168">
        <v>600000</v>
      </c>
      <c r="FG49" s="168">
        <v>2538091</v>
      </c>
      <c r="FH49" s="168">
        <v>600000</v>
      </c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168">
        <v>-59704</v>
      </c>
      <c r="FX49" s="168">
        <v>222497</v>
      </c>
      <c r="FY49" s="168">
        <v>-4093</v>
      </c>
      <c r="FZ49" s="21"/>
      <c r="GA49" s="168">
        <v>-875664</v>
      </c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168">
        <v>2003046</v>
      </c>
      <c r="GN49" s="168">
        <v>-445062</v>
      </c>
      <c r="GO49" s="168">
        <v>2003046</v>
      </c>
      <c r="GP49" s="168">
        <v>-445062</v>
      </c>
      <c r="GQ49" s="21"/>
      <c r="GR49" s="21"/>
      <c r="GS49" s="168">
        <v>2007139</v>
      </c>
      <c r="GT49" s="168">
        <v>-445062</v>
      </c>
      <c r="GU49" s="168">
        <v>-6713</v>
      </c>
      <c r="GV49" s="168">
        <v>-635124</v>
      </c>
      <c r="GW49" s="168">
        <v>77351</v>
      </c>
      <c r="GX49" s="21"/>
      <c r="GY49" s="21"/>
      <c r="GZ49" s="21"/>
      <c r="HA49" s="21"/>
      <c r="HB49" s="21"/>
      <c r="HC49" s="168">
        <v>4562359</v>
      </c>
      <c r="HD49" s="168">
        <v>173269</v>
      </c>
      <c r="HE49" s="168">
        <v>19045</v>
      </c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168">
        <v>587417</v>
      </c>
      <c r="IF49" s="168">
        <v>91</v>
      </c>
      <c r="IG49" s="21"/>
      <c r="IH49" s="21"/>
      <c r="II49" s="21"/>
      <c r="IJ49" s="21"/>
      <c r="IK49" s="21"/>
      <c r="IL49" s="21"/>
      <c r="IM49" s="21"/>
      <c r="IN49" s="21"/>
      <c r="IO49" s="21"/>
      <c r="IP49" s="21"/>
      <c r="IQ49" s="21"/>
      <c r="IR49" s="21"/>
      <c r="IS49" s="21"/>
      <c r="IT49" s="21"/>
      <c r="IU49" s="168">
        <v>2867776</v>
      </c>
      <c r="IV49" s="168">
        <v>-32435</v>
      </c>
      <c r="IW49" s="168">
        <v>3681330</v>
      </c>
      <c r="IX49" s="168">
        <v>-11855</v>
      </c>
      <c r="IY49" s="168">
        <v>-813554</v>
      </c>
      <c r="IZ49" s="168">
        <v>-20580</v>
      </c>
      <c r="JA49" s="168">
        <v>736140</v>
      </c>
      <c r="JB49" s="168">
        <v>172005</v>
      </c>
      <c r="JC49" s="21"/>
      <c r="JD49" s="21"/>
      <c r="JE49" s="168">
        <v>15366234</v>
      </c>
      <c r="JF49" s="168">
        <v>9886</v>
      </c>
      <c r="JG49" s="168">
        <v>7465</v>
      </c>
      <c r="JH49" s="21"/>
      <c r="JI49" s="168">
        <v>24272233</v>
      </c>
      <c r="JJ49" s="168">
        <v>183860</v>
      </c>
      <c r="JK49" s="168">
        <v>-872407</v>
      </c>
      <c r="JL49" s="168">
        <v>-20580</v>
      </c>
      <c r="JM49" s="168">
        <v>54683521</v>
      </c>
      <c r="JN49" s="168">
        <v>172005</v>
      </c>
      <c r="JO49" s="168">
        <v>58853</v>
      </c>
      <c r="JP49" s="21"/>
      <c r="JQ49" s="21"/>
      <c r="JR49" s="21"/>
      <c r="JS49" s="21"/>
      <c r="JT49" s="21"/>
      <c r="JU49" s="21"/>
      <c r="JV49" s="21"/>
      <c r="JW49" s="168">
        <v>26729958</v>
      </c>
      <c r="JX49" s="21"/>
      <c r="JY49" s="21"/>
      <c r="JZ49" s="21"/>
      <c r="KA49" s="21"/>
      <c r="KB49" s="21"/>
      <c r="KC49" s="21"/>
      <c r="KD49" s="21"/>
      <c r="KE49" s="168">
        <v>24880762</v>
      </c>
      <c r="KF49" s="21"/>
      <c r="KG49" s="21"/>
      <c r="KH49" s="21"/>
      <c r="KI49" s="168">
        <v>1849196</v>
      </c>
      <c r="KJ49" s="21"/>
      <c r="KK49" s="21"/>
      <c r="KL49" s="21"/>
      <c r="KM49" s="21"/>
      <c r="KN49" s="21"/>
      <c r="KO49" s="21"/>
      <c r="KP49" s="21"/>
      <c r="KQ49" s="168">
        <v>5161954</v>
      </c>
      <c r="KR49" s="168">
        <v>5151772</v>
      </c>
      <c r="KS49" s="21"/>
      <c r="KT49" s="21"/>
      <c r="KU49" s="21"/>
      <c r="KV49" s="21"/>
      <c r="KW49" s="21"/>
      <c r="KX49" s="21"/>
      <c r="KY49" s="21"/>
      <c r="KZ49" s="21"/>
      <c r="LA49" s="168">
        <v>14862162</v>
      </c>
      <c r="LB49" s="168">
        <v>14862162</v>
      </c>
      <c r="LC49" s="168">
        <v>3363</v>
      </c>
      <c r="LD49" s="168">
        <v>3363</v>
      </c>
      <c r="LE49" s="168">
        <v>-4093</v>
      </c>
      <c r="LF49" s="21"/>
      <c r="LG49" s="21"/>
      <c r="LH49" s="21"/>
      <c r="LI49" s="21"/>
      <c r="LJ49" s="21"/>
      <c r="LK49" s="168">
        <v>1115560</v>
      </c>
      <c r="LL49" s="168">
        <v>1125227</v>
      </c>
      <c r="LM49" s="21"/>
      <c r="LN49" s="21"/>
      <c r="LO49" s="21"/>
      <c r="LP49" s="21"/>
      <c r="LQ49" s="21"/>
      <c r="LR49" s="21"/>
      <c r="LS49" s="21"/>
      <c r="LT49" s="21"/>
      <c r="LU49" s="21"/>
      <c r="LV49" s="21"/>
      <c r="LW49" s="21"/>
      <c r="LX49" s="21"/>
      <c r="LY49" s="21"/>
      <c r="LZ49" s="21"/>
      <c r="MA49" s="21"/>
      <c r="MB49" s="21"/>
      <c r="MC49" s="21"/>
      <c r="MD49" s="21"/>
      <c r="ME49" s="21"/>
      <c r="MF49" s="21"/>
      <c r="MG49" s="21"/>
      <c r="MH49" s="21"/>
      <c r="MI49" s="21"/>
      <c r="MJ49" s="21"/>
      <c r="MK49" s="21"/>
      <c r="ML49" s="21"/>
      <c r="MM49" s="21"/>
      <c r="MN49" s="21"/>
      <c r="MO49" s="21"/>
      <c r="MP49" s="21"/>
      <c r="MQ49" s="21"/>
      <c r="MR49" s="21"/>
      <c r="MS49" s="21"/>
      <c r="MT49" s="21"/>
      <c r="MU49" s="21"/>
      <c r="MV49" s="21"/>
      <c r="MW49" s="21"/>
      <c r="MX49" s="21"/>
      <c r="MY49" s="21"/>
      <c r="MZ49" s="21"/>
      <c r="NA49" s="21"/>
      <c r="NB49" s="21"/>
      <c r="NC49" s="168">
        <v>2007139</v>
      </c>
      <c r="ND49" s="168">
        <v>-445062</v>
      </c>
      <c r="NE49" s="21"/>
      <c r="NF49" s="21"/>
      <c r="NG49" s="168">
        <v>16424239</v>
      </c>
      <c r="NH49" s="168">
        <v>14417100</v>
      </c>
      <c r="NI49" s="21"/>
      <c r="NJ49" s="21"/>
      <c r="NK49" s="168">
        <v>-730</v>
      </c>
      <c r="NL49" s="168">
        <v>3363</v>
      </c>
      <c r="NM49" s="168">
        <v>30880042</v>
      </c>
      <c r="NN49" s="168">
        <v>31314765</v>
      </c>
      <c r="NO49" s="168">
        <v>47303551</v>
      </c>
      <c r="NP49" s="168">
        <v>45735228</v>
      </c>
      <c r="NQ49" s="168" t="s">
        <v>901</v>
      </c>
      <c r="NR49" s="168" t="s">
        <v>769</v>
      </c>
      <c r="NS49" s="168" t="s">
        <v>770</v>
      </c>
      <c r="NT49" s="168" t="s">
        <v>771</v>
      </c>
      <c r="NU49" s="168">
        <v>5101</v>
      </c>
      <c r="NV49" s="168" t="s">
        <v>2104</v>
      </c>
      <c r="NW49" s="168" t="s">
        <v>28</v>
      </c>
      <c r="NX49" s="168" t="s">
        <v>25</v>
      </c>
      <c r="NY49" s="169">
        <v>42916</v>
      </c>
      <c r="NZ49" s="169">
        <v>42551</v>
      </c>
      <c r="OA49" s="169">
        <v>43111</v>
      </c>
      <c r="OB49" s="168" t="s">
        <v>3338</v>
      </c>
      <c r="OC49" s="168">
        <v>12</v>
      </c>
      <c r="OD49" s="168" t="s">
        <v>2105</v>
      </c>
      <c r="OE49" s="168" t="s">
        <v>2173</v>
      </c>
      <c r="OF49" s="168" t="s">
        <v>3339</v>
      </c>
      <c r="OG49" s="168" t="s">
        <v>3340</v>
      </c>
      <c r="OH49" s="168" t="s">
        <v>900</v>
      </c>
      <c r="OI49" s="168" t="s">
        <v>766</v>
      </c>
      <c r="OJ49" s="168" t="s">
        <v>3240</v>
      </c>
      <c r="OK49" s="168" t="s">
        <v>767</v>
      </c>
    </row>
    <row r="50" spans="1:401" x14ac:dyDescent="0.2">
      <c r="A50" s="170" t="str">
        <f>Liste[[#This Row],[Siren]]</f>
        <v>397439167</v>
      </c>
      <c r="B50" s="198" t="str">
        <f>Liste[[#This Row],[Dénomination]]&amp;" - comptes "&amp;YEAR(Liste[[#This Row],[Date de cloture de l''exercice]])</f>
        <v>FINANCIERE PERDIS - comptes 2017</v>
      </c>
      <c r="C50" s="21"/>
      <c r="D50" s="21"/>
      <c r="E50" s="168">
        <v>4019</v>
      </c>
      <c r="F50" s="168">
        <v>1649050</v>
      </c>
      <c r="G50" s="168">
        <v>2144361</v>
      </c>
      <c r="H50" s="168">
        <v>1653069</v>
      </c>
      <c r="I50" s="168">
        <v>754140</v>
      </c>
      <c r="J50" s="168">
        <v>589570</v>
      </c>
      <c r="K50" s="168">
        <v>570823</v>
      </c>
      <c r="L50" s="168">
        <v>1343710</v>
      </c>
      <c r="M50" s="21"/>
      <c r="N50" s="168">
        <v>5740</v>
      </c>
      <c r="O50" s="168">
        <v>5816</v>
      </c>
      <c r="P50" s="168">
        <v>5740</v>
      </c>
      <c r="Q50" s="21"/>
      <c r="R50" s="21"/>
      <c r="S50" s="21"/>
      <c r="T50" s="21"/>
      <c r="U50" s="21"/>
      <c r="V50" s="21"/>
      <c r="W50" s="21"/>
      <c r="X50" s="21"/>
      <c r="Y50" s="168">
        <v>942856</v>
      </c>
      <c r="Z50" s="168">
        <v>968151</v>
      </c>
      <c r="AA50" s="168">
        <v>500030</v>
      </c>
      <c r="AB50" s="168">
        <v>1911007</v>
      </c>
      <c r="AC50" s="21"/>
      <c r="AD50" s="168">
        <v>2583</v>
      </c>
      <c r="AE50" s="168">
        <v>43900</v>
      </c>
      <c r="AF50" s="168">
        <v>2583</v>
      </c>
      <c r="AG50" s="21"/>
      <c r="AH50" s="21"/>
      <c r="AI50" s="21"/>
      <c r="AJ50" s="21"/>
      <c r="AK50" s="21"/>
      <c r="AL50" s="168">
        <v>32848</v>
      </c>
      <c r="AM50" s="21"/>
      <c r="AN50" s="168">
        <v>32848</v>
      </c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168">
        <v>136924</v>
      </c>
      <c r="BA50" s="168">
        <v>179553</v>
      </c>
      <c r="BB50" s="168">
        <v>136924</v>
      </c>
      <c r="BC50" s="168">
        <v>34955</v>
      </c>
      <c r="BD50" s="168">
        <v>108625</v>
      </c>
      <c r="BE50" s="168">
        <v>178835</v>
      </c>
      <c r="BF50" s="168">
        <v>143580</v>
      </c>
      <c r="BG50" s="168">
        <v>35953</v>
      </c>
      <c r="BH50" s="21"/>
      <c r="BI50" s="168">
        <v>1081</v>
      </c>
      <c r="BJ50" s="168">
        <v>35953</v>
      </c>
      <c r="BK50" s="168">
        <v>12415022</v>
      </c>
      <c r="BL50" s="168">
        <v>18094439</v>
      </c>
      <c r="BM50" s="168">
        <v>18914212</v>
      </c>
      <c r="BN50" s="168">
        <v>30509461</v>
      </c>
      <c r="BO50" s="21"/>
      <c r="BP50" s="168">
        <v>876623</v>
      </c>
      <c r="BQ50" s="168">
        <v>327428</v>
      </c>
      <c r="BR50" s="168">
        <v>876623</v>
      </c>
      <c r="BS50" s="21"/>
      <c r="BT50" s="21"/>
      <c r="BU50" s="21"/>
      <c r="BV50" s="21"/>
      <c r="BW50" s="21"/>
      <c r="BX50" s="168">
        <v>9087267</v>
      </c>
      <c r="BY50" s="168">
        <v>10035749</v>
      </c>
      <c r="BZ50" s="168">
        <v>9087267</v>
      </c>
      <c r="CA50" s="21"/>
      <c r="CB50" s="21"/>
      <c r="CC50" s="21"/>
      <c r="CD50" s="168">
        <v>1430866</v>
      </c>
      <c r="CE50" s="168">
        <v>2680384</v>
      </c>
      <c r="CF50" s="168">
        <v>2704028</v>
      </c>
      <c r="CG50" s="168">
        <v>4111250</v>
      </c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168">
        <v>727522</v>
      </c>
      <c r="DE50" s="21"/>
      <c r="DF50" s="168">
        <v>2457470</v>
      </c>
      <c r="DG50" s="168">
        <v>2270757</v>
      </c>
      <c r="DH50" s="168">
        <v>2445650</v>
      </c>
      <c r="DI50" s="168">
        <v>4728227</v>
      </c>
      <c r="DJ50" s="168">
        <v>4711</v>
      </c>
      <c r="DK50" s="168">
        <v>5156554</v>
      </c>
      <c r="DL50" s="168">
        <v>6276286</v>
      </c>
      <c r="DM50" s="168">
        <v>5161265</v>
      </c>
      <c r="DN50" s="21"/>
      <c r="DO50" s="168">
        <v>38105</v>
      </c>
      <c r="DP50" s="168">
        <v>31082</v>
      </c>
      <c r="DQ50" s="168">
        <v>38105</v>
      </c>
      <c r="DR50" s="21"/>
      <c r="DS50" s="168">
        <v>727830</v>
      </c>
      <c r="DT50" s="168">
        <v>743580</v>
      </c>
      <c r="DU50" s="168">
        <v>727830</v>
      </c>
      <c r="DV50" s="21"/>
      <c r="DW50" s="168">
        <v>15244</v>
      </c>
      <c r="DX50" s="168">
        <v>15644</v>
      </c>
      <c r="DY50" s="168">
        <v>15244</v>
      </c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168">
        <v>17731389</v>
      </c>
      <c r="EL50" s="168">
        <v>28509507</v>
      </c>
      <c r="EM50" s="168">
        <v>29396798</v>
      </c>
      <c r="EN50" s="168">
        <v>46240896</v>
      </c>
      <c r="EO50" s="168">
        <v>44822</v>
      </c>
      <c r="EP50" s="168">
        <v>16296797</v>
      </c>
      <c r="EQ50" s="168">
        <v>19009699</v>
      </c>
      <c r="ER50" s="168">
        <v>16341619</v>
      </c>
      <c r="ES50" s="168">
        <v>19207077</v>
      </c>
      <c r="ET50" s="168">
        <v>47486697</v>
      </c>
      <c r="EU50" s="168">
        <v>51110528</v>
      </c>
      <c r="EV50" s="168">
        <v>66693774</v>
      </c>
      <c r="EW50" s="168">
        <v>1125948</v>
      </c>
      <c r="EX50" s="168">
        <v>4958570</v>
      </c>
      <c r="EY50" s="168">
        <v>5101112</v>
      </c>
      <c r="EZ50" s="168">
        <v>6084518</v>
      </c>
      <c r="FA50" s="21"/>
      <c r="FB50" s="21"/>
      <c r="FC50" s="21"/>
      <c r="FD50" s="21"/>
      <c r="FE50" s="168">
        <v>1137</v>
      </c>
      <c r="FF50" s="168">
        <v>25171</v>
      </c>
      <c r="FG50" s="168">
        <v>26308</v>
      </c>
      <c r="FH50" s="168">
        <v>26308</v>
      </c>
      <c r="FI50" s="168">
        <v>89132</v>
      </c>
      <c r="FJ50" s="168">
        <v>51971</v>
      </c>
      <c r="FK50" s="21"/>
      <c r="FL50" s="21"/>
      <c r="FM50" s="21"/>
      <c r="FN50" s="21"/>
      <c r="FO50" s="21"/>
      <c r="FP50" s="21"/>
      <c r="FQ50" s="21"/>
      <c r="FR50" s="168">
        <v>207903</v>
      </c>
      <c r="FS50" s="21"/>
      <c r="FT50" s="21"/>
      <c r="FU50" s="21"/>
      <c r="FV50" s="21"/>
      <c r="FW50" s="21"/>
      <c r="FX50" s="21"/>
      <c r="FY50" s="168">
        <v>57640</v>
      </c>
      <c r="FZ50" s="168">
        <v>47466</v>
      </c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168">
        <v>1659598</v>
      </c>
      <c r="GN50" s="168">
        <v>1308084</v>
      </c>
      <c r="GO50" s="21"/>
      <c r="GP50" s="21"/>
      <c r="GQ50" s="21"/>
      <c r="GR50" s="21"/>
      <c r="GS50" s="21"/>
      <c r="GT50" s="21"/>
      <c r="GU50" s="168">
        <v>435063</v>
      </c>
      <c r="GV50" s="168">
        <v>723089</v>
      </c>
      <c r="GW50" s="168">
        <v>524195</v>
      </c>
      <c r="GX50" s="168">
        <v>775060</v>
      </c>
      <c r="GY50" s="168">
        <v>64063619</v>
      </c>
      <c r="GZ50" s="168">
        <v>58732912</v>
      </c>
      <c r="HA50" s="168">
        <v>184221</v>
      </c>
      <c r="HB50" s="168">
        <v>162813</v>
      </c>
      <c r="HC50" s="168">
        <v>4274630</v>
      </c>
      <c r="HD50" s="168">
        <v>4179442</v>
      </c>
      <c r="HE50" s="168">
        <v>31217</v>
      </c>
      <c r="HF50" s="168">
        <v>27653</v>
      </c>
      <c r="HG50" s="21"/>
      <c r="HH50" s="21"/>
      <c r="HI50" s="168">
        <v>38117</v>
      </c>
      <c r="HJ50" s="168">
        <v>50934</v>
      </c>
      <c r="HK50" s="21"/>
      <c r="HL50" s="21"/>
      <c r="HM50" s="21"/>
      <c r="HN50" s="21"/>
      <c r="HO50" s="21"/>
      <c r="HP50" s="21"/>
      <c r="HQ50" s="21"/>
      <c r="HR50" s="21"/>
      <c r="HS50" s="21"/>
      <c r="HT50" s="21"/>
      <c r="HU50" s="21"/>
      <c r="HV50" s="21"/>
      <c r="HW50" s="21"/>
      <c r="HX50" s="21"/>
      <c r="HY50" s="21"/>
      <c r="HZ50" s="21"/>
      <c r="IA50" s="21"/>
      <c r="IB50" s="21"/>
      <c r="IC50" s="21"/>
      <c r="ID50" s="21"/>
      <c r="IE50" s="168">
        <v>839342</v>
      </c>
      <c r="IF50" s="168">
        <v>810140</v>
      </c>
      <c r="IG50" s="21"/>
      <c r="IH50" s="21"/>
      <c r="II50" s="21"/>
      <c r="IJ50" s="21"/>
      <c r="IK50" s="21"/>
      <c r="IL50" s="21"/>
      <c r="IM50" s="21"/>
      <c r="IN50" s="21"/>
      <c r="IO50" s="21"/>
      <c r="IP50" s="21"/>
      <c r="IQ50" s="21"/>
      <c r="IR50" s="21"/>
      <c r="IS50" s="21"/>
      <c r="IT50" s="21"/>
      <c r="IU50" s="168">
        <v>1838338</v>
      </c>
      <c r="IV50" s="168">
        <v>1742328</v>
      </c>
      <c r="IW50" s="168">
        <v>1881590</v>
      </c>
      <c r="IX50" s="168">
        <v>1751697</v>
      </c>
      <c r="IY50" s="168">
        <v>-43252</v>
      </c>
      <c r="IZ50" s="168">
        <v>-9369</v>
      </c>
      <c r="JA50" s="168">
        <v>188822</v>
      </c>
      <c r="JB50" s="168">
        <v>202696</v>
      </c>
      <c r="JC50" s="21"/>
      <c r="JD50" s="21"/>
      <c r="JE50" s="168">
        <v>8235522</v>
      </c>
      <c r="JF50" s="168">
        <v>7805432</v>
      </c>
      <c r="JG50" s="168">
        <v>90670</v>
      </c>
      <c r="JH50" s="168">
        <v>59703</v>
      </c>
      <c r="JI50" s="21"/>
      <c r="JJ50" s="21"/>
      <c r="JK50" s="168">
        <v>87540</v>
      </c>
      <c r="JL50" s="168">
        <v>66475</v>
      </c>
      <c r="JM50" s="21"/>
      <c r="JN50" s="21"/>
      <c r="JO50" s="168">
        <v>44288</v>
      </c>
      <c r="JP50" s="168">
        <v>57106</v>
      </c>
      <c r="JQ50" s="168">
        <v>199883</v>
      </c>
      <c r="JR50" s="168">
        <v>-1126558</v>
      </c>
      <c r="JS50" s="168">
        <v>-7023</v>
      </c>
      <c r="JT50" s="168">
        <v>-10553</v>
      </c>
      <c r="JU50" s="21"/>
      <c r="JV50" s="21"/>
      <c r="JW50" s="168">
        <v>82360925</v>
      </c>
      <c r="JX50" s="168">
        <v>74433609</v>
      </c>
      <c r="JY50" s="21"/>
      <c r="JZ50" s="21"/>
      <c r="KA50" s="21"/>
      <c r="KB50" s="21"/>
      <c r="KC50" s="21"/>
      <c r="KD50" s="21"/>
      <c r="KE50" s="21"/>
      <c r="KF50" s="21"/>
      <c r="KG50" s="21"/>
      <c r="KH50" s="21"/>
      <c r="KI50" s="168">
        <v>80985192</v>
      </c>
      <c r="KJ50" s="168">
        <v>73245978</v>
      </c>
      <c r="KK50" s="21"/>
      <c r="KL50" s="21"/>
      <c r="KM50" s="21"/>
      <c r="KN50" s="21"/>
      <c r="KO50" s="21"/>
      <c r="KP50" s="21"/>
      <c r="KQ50" s="168">
        <v>4522</v>
      </c>
      <c r="KR50" s="168">
        <v>5415</v>
      </c>
      <c r="KS50" s="21"/>
      <c r="KT50" s="21"/>
      <c r="KU50" s="21"/>
      <c r="KV50" s="21"/>
      <c r="KW50" s="21"/>
      <c r="KX50" s="21"/>
      <c r="KY50" s="168">
        <v>6078</v>
      </c>
      <c r="KZ50" s="168">
        <v>939</v>
      </c>
      <c r="LA50" s="168">
        <v>5000000</v>
      </c>
      <c r="LB50" s="168">
        <v>5000000</v>
      </c>
      <c r="LC50" s="21"/>
      <c r="LD50" s="21"/>
      <c r="LE50" s="168">
        <v>57640</v>
      </c>
      <c r="LF50" s="168">
        <v>47466</v>
      </c>
      <c r="LG50" s="21"/>
      <c r="LH50" s="21"/>
      <c r="LI50" s="168">
        <v>2015188</v>
      </c>
      <c r="LJ50" s="168">
        <v>1934573</v>
      </c>
      <c r="LK50" s="168">
        <v>5812780</v>
      </c>
      <c r="LL50" s="168">
        <v>6182485</v>
      </c>
      <c r="LM50" s="168">
        <v>116131</v>
      </c>
      <c r="LN50" s="168">
        <v>2093574</v>
      </c>
      <c r="LO50" s="21"/>
      <c r="LP50" s="21"/>
      <c r="LQ50" s="21"/>
      <c r="LR50" s="21"/>
      <c r="LS50" s="21"/>
      <c r="LT50" s="21"/>
      <c r="LU50" s="21"/>
      <c r="LV50" s="21"/>
      <c r="LW50" s="21"/>
      <c r="LX50" s="21"/>
      <c r="LY50" s="21"/>
      <c r="LZ50" s="21"/>
      <c r="MA50" s="168">
        <v>15716970</v>
      </c>
      <c r="MB50" s="168">
        <v>17375969</v>
      </c>
      <c r="MC50" s="168">
        <v>384961</v>
      </c>
      <c r="MD50" s="168">
        <v>1237878</v>
      </c>
      <c r="ME50" s="21"/>
      <c r="MF50" s="21"/>
      <c r="MG50" s="21"/>
      <c r="MH50" s="21"/>
      <c r="MI50" s="21"/>
      <c r="MJ50" s="21"/>
      <c r="MK50" s="21"/>
      <c r="ML50" s="21"/>
      <c r="MM50" s="168">
        <v>13503</v>
      </c>
      <c r="MN50" s="168">
        <v>9205</v>
      </c>
      <c r="MO50" s="168">
        <v>347645</v>
      </c>
      <c r="MP50" s="168">
        <v>376308</v>
      </c>
      <c r="MQ50" s="21"/>
      <c r="MR50" s="21"/>
      <c r="MS50" s="21"/>
      <c r="MT50" s="21"/>
      <c r="MU50" s="21"/>
      <c r="MV50" s="21"/>
      <c r="MW50" s="21"/>
      <c r="MX50" s="21"/>
      <c r="MY50" s="21"/>
      <c r="MZ50" s="21"/>
      <c r="NA50" s="21"/>
      <c r="NB50" s="21"/>
      <c r="NC50" s="168">
        <v>1659598</v>
      </c>
      <c r="ND50" s="168">
        <v>1308084</v>
      </c>
      <c r="NE50" s="21"/>
      <c r="NF50" s="21"/>
      <c r="NG50" s="168">
        <v>22596462</v>
      </c>
      <c r="NH50" s="168">
        <v>21436867</v>
      </c>
      <c r="NI50" s="21"/>
      <c r="NJ50" s="21"/>
      <c r="NK50" s="168">
        <v>472455</v>
      </c>
      <c r="NL50" s="168">
        <v>457312</v>
      </c>
      <c r="NM50" s="168">
        <v>24070133</v>
      </c>
      <c r="NN50" s="168">
        <v>28840038</v>
      </c>
      <c r="NO50" s="168">
        <v>47486697</v>
      </c>
      <c r="NP50" s="168">
        <v>51110528</v>
      </c>
      <c r="NQ50" s="168" t="s">
        <v>1269</v>
      </c>
      <c r="NR50" s="168" t="s">
        <v>804</v>
      </c>
      <c r="NS50" s="168" t="s">
        <v>770</v>
      </c>
      <c r="NT50" s="168" t="s">
        <v>771</v>
      </c>
      <c r="NU50" s="168">
        <v>4502</v>
      </c>
      <c r="NV50" s="168" t="s">
        <v>2104</v>
      </c>
      <c r="NW50" s="168" t="s">
        <v>28</v>
      </c>
      <c r="NX50" s="168" t="s">
        <v>25</v>
      </c>
      <c r="NY50" s="169">
        <v>42916</v>
      </c>
      <c r="NZ50" s="169">
        <v>42551</v>
      </c>
      <c r="OA50" s="169">
        <v>43068</v>
      </c>
      <c r="OB50" s="168" t="s">
        <v>1270</v>
      </c>
      <c r="OC50" s="168">
        <v>12</v>
      </c>
      <c r="OD50" s="168" t="s">
        <v>2105</v>
      </c>
      <c r="OE50" s="168" t="s">
        <v>2415</v>
      </c>
      <c r="OF50" s="168" t="s">
        <v>2416</v>
      </c>
      <c r="OG50" s="168" t="s">
        <v>1944</v>
      </c>
      <c r="OH50" s="168" t="s">
        <v>838</v>
      </c>
      <c r="OI50" s="168" t="s">
        <v>766</v>
      </c>
      <c r="OJ50" s="168" t="s">
        <v>3240</v>
      </c>
      <c r="OK50" s="168" t="s">
        <v>803</v>
      </c>
    </row>
    <row r="51" spans="1:401" x14ac:dyDescent="0.2">
      <c r="A51" s="170" t="str">
        <f>Liste[[#This Row],[Siren]]</f>
        <v>808890164</v>
      </c>
      <c r="B51" s="198" t="str">
        <f>Liste[[#This Row],[Dénomination]]&amp;" - comptes "&amp;YEAR(Liste[[#This Row],[Date de cloture de l''exercice]])</f>
        <v>Financière Eurogiciel - comptes 2017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168">
        <v>44518000</v>
      </c>
      <c r="BE51" s="168">
        <v>28341000</v>
      </c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168">
        <v>32487000</v>
      </c>
      <c r="EI51" s="168">
        <v>23670000</v>
      </c>
      <c r="EJ51" s="21"/>
      <c r="EK51" s="21"/>
      <c r="EL51" s="168">
        <v>52584000</v>
      </c>
      <c r="EM51" s="168">
        <v>37013000</v>
      </c>
      <c r="EN51" s="21"/>
      <c r="EO51" s="21"/>
      <c r="EP51" s="168">
        <v>74039000</v>
      </c>
      <c r="EQ51" s="168">
        <v>40657000</v>
      </c>
      <c r="ER51" s="21"/>
      <c r="ES51" s="21"/>
      <c r="ET51" s="168">
        <v>126623000</v>
      </c>
      <c r="EU51" s="168">
        <v>77670000</v>
      </c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168">
        <v>1612000</v>
      </c>
      <c r="FX51" s="168">
        <v>1075000</v>
      </c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168">
        <v>4845000</v>
      </c>
      <c r="GN51" s="168">
        <v>3948000</v>
      </c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168">
        <v>105992000</v>
      </c>
      <c r="HP51" s="168">
        <v>60657000</v>
      </c>
      <c r="HQ51" s="21"/>
      <c r="HR51" s="21"/>
      <c r="HS51" s="21"/>
      <c r="HT51" s="21"/>
      <c r="HU51" s="168">
        <v>1244000</v>
      </c>
      <c r="HV51" s="168">
        <v>678000</v>
      </c>
      <c r="HW51" s="21"/>
      <c r="HX51" s="21"/>
      <c r="HY51" s="21"/>
      <c r="HZ51" s="21"/>
      <c r="IA51" s="21"/>
      <c r="IB51" s="21"/>
      <c r="IC51" s="21"/>
      <c r="ID51" s="21"/>
      <c r="IE51" s="168">
        <v>2193000</v>
      </c>
      <c r="IF51" s="168">
        <v>911000</v>
      </c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1"/>
      <c r="IR51" s="21"/>
      <c r="IS51" s="21"/>
      <c r="IT51" s="21"/>
      <c r="IU51" s="168">
        <v>6458000</v>
      </c>
      <c r="IV51" s="168">
        <v>5023000</v>
      </c>
      <c r="IW51" s="21"/>
      <c r="IX51" s="21"/>
      <c r="IY51" s="168">
        <v>-3003000</v>
      </c>
      <c r="IZ51" s="168">
        <v>-2285000</v>
      </c>
      <c r="JA51" s="21"/>
      <c r="JB51" s="21"/>
      <c r="JC51" s="21"/>
      <c r="JD51" s="21"/>
      <c r="JE51" s="21"/>
      <c r="JF51" s="21"/>
      <c r="JG51" s="21"/>
      <c r="JH51" s="21"/>
      <c r="JI51" s="21"/>
      <c r="JJ51" s="21"/>
      <c r="JK51" s="21"/>
      <c r="JL51" s="21"/>
      <c r="JM51" s="21"/>
      <c r="JN51" s="21"/>
      <c r="JO51" s="168">
        <v>3000</v>
      </c>
      <c r="JP51" s="168">
        <v>28000</v>
      </c>
      <c r="JQ51" s="21"/>
      <c r="JR51" s="21"/>
      <c r="JS51" s="21"/>
      <c r="JT51" s="21"/>
      <c r="JU51" s="21"/>
      <c r="JV51" s="21"/>
      <c r="JW51" s="168">
        <v>139710000</v>
      </c>
      <c r="JX51" s="168">
        <v>79639000</v>
      </c>
      <c r="JY51" s="21"/>
      <c r="JZ51" s="21"/>
      <c r="KA51" s="21"/>
      <c r="KB51" s="21"/>
      <c r="KC51" s="21"/>
      <c r="KD51" s="21"/>
      <c r="KE51" s="21"/>
      <c r="KF51" s="21"/>
      <c r="KG51" s="21"/>
      <c r="KH51" s="21"/>
      <c r="KI51" s="21"/>
      <c r="KJ51" s="21"/>
      <c r="KK51" s="21"/>
      <c r="KL51" s="21"/>
      <c r="KM51" s="21"/>
      <c r="KN51" s="21"/>
      <c r="KO51" s="21"/>
      <c r="KP51" s="21"/>
      <c r="KQ51" s="21"/>
      <c r="KR51" s="21"/>
      <c r="KS51" s="21"/>
      <c r="KT51" s="21"/>
      <c r="KU51" s="21"/>
      <c r="KV51" s="21"/>
      <c r="KW51" s="21"/>
      <c r="KX51" s="21"/>
      <c r="KY51" s="21"/>
      <c r="KZ51" s="21"/>
      <c r="LA51" s="168">
        <v>21621000</v>
      </c>
      <c r="LB51" s="168">
        <v>16687000</v>
      </c>
      <c r="LC51" s="21"/>
      <c r="LD51" s="21"/>
      <c r="LE51" s="21"/>
      <c r="LF51" s="21"/>
      <c r="LG51" s="21"/>
      <c r="LH51" s="21"/>
      <c r="LI51" s="21"/>
      <c r="LJ51" s="21"/>
      <c r="LK51" s="168">
        <v>5812000</v>
      </c>
      <c r="LL51" s="168">
        <v>3673000</v>
      </c>
      <c r="LM51" s="21"/>
      <c r="LN51" s="21"/>
      <c r="LO51" s="21"/>
      <c r="LP51" s="21"/>
      <c r="LQ51" s="21"/>
      <c r="LR51" s="21"/>
      <c r="LS51" s="21"/>
      <c r="LT51" s="21"/>
      <c r="LU51" s="21"/>
      <c r="LV51" s="21"/>
      <c r="LW51" s="21"/>
      <c r="LX51" s="21"/>
      <c r="LY51" s="21"/>
      <c r="LZ51" s="21"/>
      <c r="MA51" s="21"/>
      <c r="MB51" s="21"/>
      <c r="MC51" s="21"/>
      <c r="MD51" s="21"/>
      <c r="ME51" s="21"/>
      <c r="MF51" s="21"/>
      <c r="MG51" s="21"/>
      <c r="MH51" s="21"/>
      <c r="MI51" s="21"/>
      <c r="MJ51" s="21"/>
      <c r="MK51" s="21"/>
      <c r="ML51" s="21"/>
      <c r="MM51" s="21"/>
      <c r="MN51" s="21"/>
      <c r="MO51" s="21"/>
      <c r="MP51" s="21"/>
      <c r="MQ51" s="21"/>
      <c r="MR51" s="21"/>
      <c r="MS51" s="21"/>
      <c r="MT51" s="21"/>
      <c r="MU51" s="21"/>
      <c r="MV51" s="21"/>
      <c r="MW51" s="168">
        <v>6654000</v>
      </c>
      <c r="MX51" s="168">
        <v>2739000</v>
      </c>
      <c r="MY51" s="21"/>
      <c r="MZ51" s="21"/>
      <c r="NA51" s="21"/>
      <c r="NB51" s="21"/>
      <c r="NC51" s="168">
        <v>4848000</v>
      </c>
      <c r="ND51" s="168">
        <v>3948000</v>
      </c>
      <c r="NE51" s="21"/>
      <c r="NF51" s="21"/>
      <c r="NG51" s="21"/>
      <c r="NH51" s="21"/>
      <c r="NI51" s="168">
        <v>21621000</v>
      </c>
      <c r="NJ51" s="168">
        <v>16687000</v>
      </c>
      <c r="NK51" s="21"/>
      <c r="NL51" s="21"/>
      <c r="NM51" s="21"/>
      <c r="NN51" s="21"/>
      <c r="NO51" s="168">
        <v>126623000</v>
      </c>
      <c r="NP51" s="168">
        <v>77670000</v>
      </c>
      <c r="NQ51" s="168" t="s">
        <v>1291</v>
      </c>
      <c r="NR51" s="168" t="s">
        <v>797</v>
      </c>
      <c r="NS51" s="168" t="s">
        <v>770</v>
      </c>
      <c r="NT51" s="168" t="s">
        <v>771</v>
      </c>
      <c r="NU51" s="168">
        <v>3102</v>
      </c>
      <c r="NV51" s="168" t="s">
        <v>2104</v>
      </c>
      <c r="NW51" s="168" t="s">
        <v>28</v>
      </c>
      <c r="NX51" s="168" t="s">
        <v>25</v>
      </c>
      <c r="NY51" s="169">
        <v>42916</v>
      </c>
      <c r="NZ51" s="169">
        <v>42551</v>
      </c>
      <c r="OA51" s="169">
        <v>43104</v>
      </c>
      <c r="OB51" s="168" t="s">
        <v>1292</v>
      </c>
      <c r="OC51" s="168">
        <v>12</v>
      </c>
      <c r="OD51" s="168" t="s">
        <v>2105</v>
      </c>
      <c r="OE51" s="168" t="s">
        <v>3351</v>
      </c>
      <c r="OF51" s="168" t="s">
        <v>2435</v>
      </c>
      <c r="OG51" s="168" t="s">
        <v>1956</v>
      </c>
      <c r="OH51" s="168" t="s">
        <v>869</v>
      </c>
      <c r="OI51" s="168" t="s">
        <v>766</v>
      </c>
      <c r="OJ51" s="168" t="s">
        <v>3240</v>
      </c>
      <c r="OK51" s="168" t="s">
        <v>796</v>
      </c>
    </row>
    <row r="52" spans="1:401" x14ac:dyDescent="0.2">
      <c r="A52" s="170" t="str">
        <f>Liste[[#This Row],[Siren]]</f>
        <v>527675706</v>
      </c>
      <c r="B52" s="198" t="str">
        <f>Liste[[#This Row],[Dénomination]]&amp;" - comptes "&amp;YEAR(Liste[[#This Row],[Date de cloture de l''exercice]])</f>
        <v>2JEANFC - comptes 2017</v>
      </c>
      <c r="C52" s="21"/>
      <c r="D52" s="21"/>
      <c r="E52" s="21"/>
      <c r="F52" s="168">
        <v>3661000</v>
      </c>
      <c r="G52" s="168">
        <v>3036000</v>
      </c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168">
        <v>6572000</v>
      </c>
      <c r="BE52" s="168">
        <v>5724000</v>
      </c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168">
        <v>3092000</v>
      </c>
      <c r="BY52" s="168">
        <v>2489000</v>
      </c>
      <c r="BZ52" s="21"/>
      <c r="CA52" s="21"/>
      <c r="CB52" s="21"/>
      <c r="CC52" s="21"/>
      <c r="CD52" s="21"/>
      <c r="CE52" s="168">
        <v>2374000</v>
      </c>
      <c r="CF52" s="168">
        <v>2654000</v>
      </c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168">
        <v>6185000</v>
      </c>
      <c r="EM52" s="168">
        <v>5049000</v>
      </c>
      <c r="EN52" s="21"/>
      <c r="EO52" s="21"/>
      <c r="EP52" s="168">
        <v>14473000</v>
      </c>
      <c r="EQ52" s="168">
        <v>12471000</v>
      </c>
      <c r="ER52" s="21"/>
      <c r="ES52" s="21"/>
      <c r="ET52" s="168">
        <v>20658000</v>
      </c>
      <c r="EU52" s="168">
        <v>17520000</v>
      </c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168">
        <v>217000</v>
      </c>
      <c r="FG52" s="168">
        <v>461000</v>
      </c>
      <c r="FH52" s="21"/>
      <c r="FI52" s="168">
        <v>-20000</v>
      </c>
      <c r="FJ52" s="168">
        <v>-104000</v>
      </c>
      <c r="FK52" s="21"/>
      <c r="FL52" s="21"/>
      <c r="FM52" s="21"/>
      <c r="FN52" s="21"/>
      <c r="FO52" s="21"/>
      <c r="FP52" s="21"/>
      <c r="FQ52" s="168">
        <v>-279000</v>
      </c>
      <c r="FR52" s="168">
        <v>-349000</v>
      </c>
      <c r="FS52" s="21"/>
      <c r="FT52" s="21"/>
      <c r="FU52" s="21"/>
      <c r="FV52" s="21"/>
      <c r="FW52" s="21"/>
      <c r="FX52" s="21"/>
      <c r="FY52" s="168">
        <v>5000</v>
      </c>
      <c r="FZ52" s="168">
        <v>-6000</v>
      </c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168">
        <v>429000</v>
      </c>
      <c r="GN52" s="168">
        <v>347000</v>
      </c>
      <c r="GO52" s="168">
        <v>708000</v>
      </c>
      <c r="GP52" s="168">
        <v>696000</v>
      </c>
      <c r="GQ52" s="21"/>
      <c r="GR52" s="21"/>
      <c r="GS52" s="168">
        <v>424000</v>
      </c>
      <c r="GT52" s="168">
        <v>353000</v>
      </c>
      <c r="GU52" s="21"/>
      <c r="GV52" s="21"/>
      <c r="GW52" s="21"/>
      <c r="GX52" s="21"/>
      <c r="GY52" s="21"/>
      <c r="GZ52" s="21"/>
      <c r="HA52" s="21"/>
      <c r="HB52" s="21"/>
      <c r="HC52" s="21"/>
      <c r="HD52" s="21"/>
      <c r="HE52" s="168">
        <v>4349000</v>
      </c>
      <c r="HF52" s="168">
        <v>5420000</v>
      </c>
      <c r="HG52" s="21"/>
      <c r="HH52" s="21"/>
      <c r="HI52" s="168">
        <v>721000</v>
      </c>
      <c r="HJ52" s="168">
        <v>780000</v>
      </c>
      <c r="HK52" s="21"/>
      <c r="HL52" s="21"/>
      <c r="HM52" s="21"/>
      <c r="HN52" s="21"/>
      <c r="HO52" s="21"/>
      <c r="HP52" s="21"/>
      <c r="HQ52" s="21"/>
      <c r="HR52" s="21"/>
      <c r="HS52" s="21"/>
      <c r="HT52" s="21"/>
      <c r="HU52" s="21"/>
      <c r="HV52" s="21"/>
      <c r="HW52" s="21"/>
      <c r="HX52" s="21"/>
      <c r="HY52" s="21"/>
      <c r="HZ52" s="21"/>
      <c r="IA52" s="21"/>
      <c r="IB52" s="21"/>
      <c r="IC52" s="21"/>
      <c r="ID52" s="21"/>
      <c r="IE52" s="168">
        <v>790000</v>
      </c>
      <c r="IF52" s="168">
        <v>791000</v>
      </c>
      <c r="IG52" s="21"/>
      <c r="IH52" s="21"/>
      <c r="II52" s="21"/>
      <c r="IJ52" s="21"/>
      <c r="IK52" s="21"/>
      <c r="IL52" s="21"/>
      <c r="IM52" s="21"/>
      <c r="IN52" s="21"/>
      <c r="IO52" s="21"/>
      <c r="IP52" s="21"/>
      <c r="IQ52" s="21"/>
      <c r="IR52" s="21"/>
      <c r="IS52" s="21"/>
      <c r="IT52" s="21"/>
      <c r="IU52" s="168">
        <v>729000</v>
      </c>
      <c r="IV52" s="168">
        <v>864000</v>
      </c>
      <c r="IW52" s="168">
        <v>835000</v>
      </c>
      <c r="IX52" s="168">
        <v>959000</v>
      </c>
      <c r="IY52" s="168">
        <v>-106000</v>
      </c>
      <c r="IZ52" s="168">
        <v>-95000</v>
      </c>
      <c r="JA52" s="21"/>
      <c r="JB52" s="21"/>
      <c r="JC52" s="21"/>
      <c r="JD52" s="21"/>
      <c r="JE52" s="21"/>
      <c r="JF52" s="21"/>
      <c r="JG52" s="21"/>
      <c r="JH52" s="21"/>
      <c r="JI52" s="168">
        <v>41221000</v>
      </c>
      <c r="JJ52" s="168">
        <v>45985000</v>
      </c>
      <c r="JK52" s="21"/>
      <c r="JL52" s="21"/>
      <c r="JM52" s="168">
        <v>42056000</v>
      </c>
      <c r="JN52" s="168">
        <v>46944000</v>
      </c>
      <c r="JO52" s="21"/>
      <c r="JP52" s="21"/>
      <c r="JQ52" s="21"/>
      <c r="JR52" s="21"/>
      <c r="JS52" s="21"/>
      <c r="JT52" s="21"/>
      <c r="JU52" s="21"/>
      <c r="JV52" s="21"/>
      <c r="JW52" s="168">
        <v>41335000</v>
      </c>
      <c r="JX52" s="168">
        <v>46077000</v>
      </c>
      <c r="JY52" s="21"/>
      <c r="JZ52" s="21"/>
      <c r="KA52" s="21"/>
      <c r="KB52" s="21"/>
      <c r="KC52" s="21"/>
      <c r="KD52" s="21"/>
      <c r="KE52" s="21"/>
      <c r="KF52" s="21"/>
      <c r="KG52" s="21"/>
      <c r="KH52" s="21"/>
      <c r="KI52" s="21"/>
      <c r="KJ52" s="21"/>
      <c r="KK52" s="21"/>
      <c r="KL52" s="21"/>
      <c r="KM52" s="21"/>
      <c r="KN52" s="21"/>
      <c r="KO52" s="21"/>
      <c r="KP52" s="21"/>
      <c r="KQ52" s="168">
        <v>6683000</v>
      </c>
      <c r="KR52" s="168">
        <v>6196000</v>
      </c>
      <c r="KS52" s="21"/>
      <c r="KT52" s="21"/>
      <c r="KU52" s="21"/>
      <c r="KV52" s="21"/>
      <c r="KW52" s="21"/>
      <c r="KX52" s="21"/>
      <c r="KY52" s="21"/>
      <c r="KZ52" s="21"/>
      <c r="LA52" s="168">
        <v>4001000</v>
      </c>
      <c r="LB52" s="168">
        <v>4001000</v>
      </c>
      <c r="LC52" s="168">
        <v>44000</v>
      </c>
      <c r="LD52" s="168">
        <v>20000</v>
      </c>
      <c r="LE52" s="168">
        <v>5000</v>
      </c>
      <c r="LF52" s="168">
        <v>-6000</v>
      </c>
      <c r="LG52" s="21"/>
      <c r="LH52" s="21"/>
      <c r="LI52" s="21"/>
      <c r="LJ52" s="21"/>
      <c r="LK52" s="168">
        <v>2866000</v>
      </c>
      <c r="LL52" s="168">
        <v>2166000</v>
      </c>
      <c r="LM52" s="21"/>
      <c r="LN52" s="21"/>
      <c r="LO52" s="21"/>
      <c r="LP52" s="21"/>
      <c r="LQ52" s="21"/>
      <c r="LR52" s="21"/>
      <c r="LS52" s="21"/>
      <c r="LT52" s="21"/>
      <c r="LU52" s="21"/>
      <c r="LV52" s="21"/>
      <c r="LW52" s="21"/>
      <c r="LX52" s="21"/>
      <c r="LY52" s="21"/>
      <c r="LZ52" s="21"/>
      <c r="MA52" s="21"/>
      <c r="MB52" s="21"/>
      <c r="MC52" s="168">
        <v>6002000</v>
      </c>
      <c r="MD52" s="168">
        <v>4400000</v>
      </c>
      <c r="ME52" s="21"/>
      <c r="MF52" s="21"/>
      <c r="MG52" s="21"/>
      <c r="MH52" s="21"/>
      <c r="MI52" s="21"/>
      <c r="MJ52" s="21"/>
      <c r="MK52" s="21"/>
      <c r="ML52" s="21"/>
      <c r="MM52" s="21"/>
      <c r="MN52" s="21"/>
      <c r="MO52" s="21"/>
      <c r="MP52" s="21"/>
      <c r="MQ52" s="21"/>
      <c r="MR52" s="21"/>
      <c r="MS52" s="21"/>
      <c r="MT52" s="21"/>
      <c r="MU52" s="21"/>
      <c r="MV52" s="21"/>
      <c r="MW52" s="21"/>
      <c r="MX52" s="21"/>
      <c r="MY52" s="21"/>
      <c r="MZ52" s="21"/>
      <c r="NA52" s="21"/>
      <c r="NB52" s="21"/>
      <c r="NC52" s="168">
        <v>424000</v>
      </c>
      <c r="ND52" s="168">
        <v>353000</v>
      </c>
      <c r="NE52" s="21"/>
      <c r="NF52" s="21"/>
      <c r="NG52" s="168">
        <v>4762000</v>
      </c>
      <c r="NH52" s="168">
        <v>4338000</v>
      </c>
      <c r="NI52" s="21"/>
      <c r="NJ52" s="21"/>
      <c r="NK52" s="168">
        <v>49000</v>
      </c>
      <c r="NL52" s="168">
        <v>14000</v>
      </c>
      <c r="NM52" s="168">
        <v>15551000</v>
      </c>
      <c r="NN52" s="168">
        <v>12762000</v>
      </c>
      <c r="NO52" s="168">
        <v>20658000</v>
      </c>
      <c r="NP52" s="168">
        <v>17520000</v>
      </c>
      <c r="NQ52" s="168" t="s">
        <v>1015</v>
      </c>
      <c r="NR52" s="168" t="s">
        <v>802</v>
      </c>
      <c r="NS52" s="168" t="s">
        <v>770</v>
      </c>
      <c r="NT52" s="168" t="s">
        <v>771</v>
      </c>
      <c r="NU52" s="168">
        <v>6901</v>
      </c>
      <c r="NV52" s="168" t="s">
        <v>2104</v>
      </c>
      <c r="NW52" s="168" t="s">
        <v>28</v>
      </c>
      <c r="NX52" s="168" t="s">
        <v>25</v>
      </c>
      <c r="NY52" s="169">
        <v>42916</v>
      </c>
      <c r="NZ52" s="169">
        <v>42551</v>
      </c>
      <c r="OA52" s="169">
        <v>43075</v>
      </c>
      <c r="OB52" s="168" t="s">
        <v>1016</v>
      </c>
      <c r="OC52" s="168">
        <v>12</v>
      </c>
      <c r="OD52" s="168" t="s">
        <v>2105</v>
      </c>
      <c r="OE52" s="168" t="s">
        <v>1432</v>
      </c>
      <c r="OF52" s="168" t="s">
        <v>2218</v>
      </c>
      <c r="OG52" s="168" t="s">
        <v>1846</v>
      </c>
      <c r="OH52" s="168" t="s">
        <v>819</v>
      </c>
      <c r="OI52" s="168" t="s">
        <v>766</v>
      </c>
      <c r="OJ52" s="168" t="s">
        <v>3240</v>
      </c>
      <c r="OK52" s="168" t="s">
        <v>801</v>
      </c>
    </row>
    <row r="53" spans="1:401" x14ac:dyDescent="0.2">
      <c r="A53" s="170" t="str">
        <f>Liste[[#This Row],[Siren]]</f>
        <v>441265329</v>
      </c>
      <c r="B53" s="198" t="str">
        <f>Liste[[#This Row],[Dénomination]]&amp;" - comptes "&amp;YEAR(Liste[[#This Row],[Date de cloture de l''exercice]])</f>
        <v>FOLIATEAM GROUP - comptes 2017</v>
      </c>
      <c r="C53" s="21"/>
      <c r="D53" s="21"/>
      <c r="E53" s="21"/>
      <c r="F53" s="168">
        <v>2479391</v>
      </c>
      <c r="G53" s="168">
        <v>1569608</v>
      </c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168">
        <v>10986733</v>
      </c>
      <c r="BE53" s="168">
        <v>9916601</v>
      </c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168">
        <v>1155301</v>
      </c>
      <c r="BY53" s="168">
        <v>1641203</v>
      </c>
      <c r="BZ53" s="21"/>
      <c r="CA53" s="21"/>
      <c r="CB53" s="21"/>
      <c r="CC53" s="21"/>
      <c r="CD53" s="21"/>
      <c r="CE53" s="168">
        <v>9873375</v>
      </c>
      <c r="CF53" s="168">
        <v>7396958</v>
      </c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168">
        <v>4817979</v>
      </c>
      <c r="EM53" s="168">
        <v>3376563</v>
      </c>
      <c r="EN53" s="21"/>
      <c r="EO53" s="21"/>
      <c r="EP53" s="168">
        <v>20336934</v>
      </c>
      <c r="EQ53" s="168">
        <v>19847158</v>
      </c>
      <c r="ER53" s="21"/>
      <c r="ES53" s="21"/>
      <c r="ET53" s="168">
        <v>35028288</v>
      </c>
      <c r="EU53" s="168">
        <v>30620679</v>
      </c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168">
        <v>2125765</v>
      </c>
      <c r="FG53" s="168">
        <v>3129387</v>
      </c>
      <c r="FH53" s="21"/>
      <c r="FI53" s="168">
        <v>-392126</v>
      </c>
      <c r="FJ53" s="168">
        <v>-178286</v>
      </c>
      <c r="FK53" s="21"/>
      <c r="FL53" s="21"/>
      <c r="FM53" s="21"/>
      <c r="FN53" s="21"/>
      <c r="FO53" s="21"/>
      <c r="FP53" s="21"/>
      <c r="FQ53" s="21"/>
      <c r="FR53" s="168">
        <v>543039</v>
      </c>
      <c r="FS53" s="21"/>
      <c r="FT53" s="21"/>
      <c r="FU53" s="21"/>
      <c r="FV53" s="21"/>
      <c r="FW53" s="168">
        <v>176586</v>
      </c>
      <c r="FX53" s="168">
        <v>618179</v>
      </c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168">
        <v>1373908</v>
      </c>
      <c r="GN53" s="168">
        <v>1162229</v>
      </c>
      <c r="GO53" s="168">
        <v>1373908</v>
      </c>
      <c r="GP53" s="168">
        <v>1705268</v>
      </c>
      <c r="GQ53" s="21"/>
      <c r="GR53" s="21"/>
      <c r="GS53" s="168">
        <v>1373908</v>
      </c>
      <c r="GT53" s="168">
        <v>1162229</v>
      </c>
      <c r="GU53" s="168">
        <v>568672</v>
      </c>
      <c r="GV53" s="168">
        <v>345115</v>
      </c>
      <c r="GW53" s="168">
        <v>176546</v>
      </c>
      <c r="GX53" s="168">
        <v>166829</v>
      </c>
      <c r="GY53" s="21"/>
      <c r="GZ53" s="21"/>
      <c r="HA53" s="21"/>
      <c r="HB53" s="21"/>
      <c r="HC53" s="168">
        <v>16397261</v>
      </c>
      <c r="HD53" s="168">
        <v>6310786</v>
      </c>
      <c r="HE53" s="168">
        <v>1303</v>
      </c>
      <c r="HF53" s="168">
        <v>2083</v>
      </c>
      <c r="HG53" s="21"/>
      <c r="HH53" s="21"/>
      <c r="HI53" s="168">
        <v>21328</v>
      </c>
      <c r="HJ53" s="168">
        <v>87209</v>
      </c>
      <c r="HK53" s="21"/>
      <c r="HL53" s="21"/>
      <c r="HM53" s="21"/>
      <c r="HN53" s="21"/>
      <c r="HO53" s="21"/>
      <c r="HP53" s="21"/>
      <c r="HQ53" s="21"/>
      <c r="HR53" s="21"/>
      <c r="HS53" s="21"/>
      <c r="HT53" s="21"/>
      <c r="HU53" s="168">
        <v>848537</v>
      </c>
      <c r="HV53" s="168">
        <v>518411</v>
      </c>
      <c r="HW53" s="21"/>
      <c r="HX53" s="21"/>
      <c r="HY53" s="21"/>
      <c r="HZ53" s="21"/>
      <c r="IA53" s="168">
        <v>455659</v>
      </c>
      <c r="IB53" s="168">
        <v>191435</v>
      </c>
      <c r="IC53" s="21"/>
      <c r="ID53" s="21"/>
      <c r="IE53" s="168">
        <v>635891</v>
      </c>
      <c r="IF53" s="168">
        <v>714862</v>
      </c>
      <c r="IG53" s="21"/>
      <c r="IH53" s="21"/>
      <c r="II53" s="21"/>
      <c r="IJ53" s="21"/>
      <c r="IK53" s="168">
        <v>698120</v>
      </c>
      <c r="IL53" s="168">
        <v>667436</v>
      </c>
      <c r="IM53" s="21"/>
      <c r="IN53" s="21"/>
      <c r="IO53" s="21"/>
      <c r="IP53" s="21"/>
      <c r="IQ53" s="21"/>
      <c r="IR53" s="21"/>
      <c r="IS53" s="21"/>
      <c r="IT53" s="21"/>
      <c r="IU53" s="168">
        <v>1942620</v>
      </c>
      <c r="IV53" s="168">
        <v>2501733</v>
      </c>
      <c r="IW53" s="168">
        <v>2173644</v>
      </c>
      <c r="IX53" s="168">
        <v>2652607</v>
      </c>
      <c r="IY53" s="168">
        <v>-231024</v>
      </c>
      <c r="IZ53" s="168">
        <v>-150874</v>
      </c>
      <c r="JA53" s="168">
        <v>278348</v>
      </c>
      <c r="JB53" s="168">
        <v>124144</v>
      </c>
      <c r="JC53" s="21"/>
      <c r="JD53" s="21"/>
      <c r="JE53" s="21"/>
      <c r="JF53" s="21"/>
      <c r="JG53" s="168">
        <v>103463</v>
      </c>
      <c r="JH53" s="168">
        <v>98469</v>
      </c>
      <c r="JI53" s="168">
        <v>41762270</v>
      </c>
      <c r="JJ53" s="168">
        <v>37612095</v>
      </c>
      <c r="JK53" s="168">
        <v>272936</v>
      </c>
      <c r="JL53" s="168">
        <v>201799</v>
      </c>
      <c r="JM53" s="168">
        <v>43935914</v>
      </c>
      <c r="JN53" s="168">
        <v>40264702</v>
      </c>
      <c r="JO53" s="168">
        <v>41912</v>
      </c>
      <c r="JP53" s="168">
        <v>50925</v>
      </c>
      <c r="JQ53" s="21"/>
      <c r="JR53" s="21"/>
      <c r="JS53" s="21"/>
      <c r="JT53" s="21"/>
      <c r="JU53" s="21"/>
      <c r="JV53" s="21"/>
      <c r="JW53" s="168">
        <v>42834655</v>
      </c>
      <c r="JX53" s="168">
        <v>39287444</v>
      </c>
      <c r="JY53" s="21"/>
      <c r="JZ53" s="21"/>
      <c r="KA53" s="21"/>
      <c r="KB53" s="21"/>
      <c r="KC53" s="21"/>
      <c r="KD53" s="21"/>
      <c r="KE53" s="21"/>
      <c r="KF53" s="21"/>
      <c r="KG53" s="21"/>
      <c r="KH53" s="21"/>
      <c r="KI53" s="21"/>
      <c r="KJ53" s="21"/>
      <c r="KK53" s="21"/>
      <c r="KL53" s="21"/>
      <c r="KM53" s="21"/>
      <c r="KN53" s="21"/>
      <c r="KO53" s="21"/>
      <c r="KP53" s="21"/>
      <c r="KQ53" s="168">
        <v>460464</v>
      </c>
      <c r="KR53" s="168">
        <v>98930</v>
      </c>
      <c r="KS53" s="21"/>
      <c r="KT53" s="21"/>
      <c r="KU53" s="21"/>
      <c r="KV53" s="21"/>
      <c r="KW53" s="21"/>
      <c r="KX53" s="21"/>
      <c r="KY53" s="21"/>
      <c r="KZ53" s="21"/>
      <c r="LA53" s="168">
        <v>1517383</v>
      </c>
      <c r="LB53" s="168">
        <v>1447383</v>
      </c>
      <c r="LC53" s="21"/>
      <c r="LD53" s="21"/>
      <c r="LE53" s="21"/>
      <c r="LF53" s="21"/>
      <c r="LG53" s="21"/>
      <c r="LH53" s="21"/>
      <c r="LI53" s="168">
        <v>6406076</v>
      </c>
      <c r="LJ53" s="168">
        <v>6073591</v>
      </c>
      <c r="LK53" s="168">
        <v>5743882</v>
      </c>
      <c r="LL53" s="168">
        <v>5228740</v>
      </c>
      <c r="LM53" s="21"/>
      <c r="LN53" s="21"/>
      <c r="LO53" s="21"/>
      <c r="LP53" s="21"/>
      <c r="LQ53" s="21"/>
      <c r="LR53" s="21"/>
      <c r="LS53" s="21"/>
      <c r="LT53" s="21"/>
      <c r="LU53" s="21"/>
      <c r="LV53" s="21"/>
      <c r="LW53" s="21"/>
      <c r="LX53" s="21"/>
      <c r="LY53" s="21"/>
      <c r="LZ53" s="21"/>
      <c r="MA53" s="21"/>
      <c r="MB53" s="21"/>
      <c r="MC53" s="168">
        <v>6072218</v>
      </c>
      <c r="MD53" s="168">
        <v>4672960</v>
      </c>
      <c r="ME53" s="21"/>
      <c r="MF53" s="21"/>
      <c r="MG53" s="21"/>
      <c r="MH53" s="21"/>
      <c r="MI53" s="168">
        <v>3879420</v>
      </c>
      <c r="MJ53" s="168">
        <v>3948452</v>
      </c>
      <c r="MK53" s="21"/>
      <c r="ML53" s="21"/>
      <c r="MM53" s="21"/>
      <c r="MN53" s="21"/>
      <c r="MO53" s="21"/>
      <c r="MP53" s="21"/>
      <c r="MQ53" s="21"/>
      <c r="MR53" s="21"/>
      <c r="MS53" s="21"/>
      <c r="MT53" s="21"/>
      <c r="MU53" s="21"/>
      <c r="MV53" s="21"/>
      <c r="MW53" s="21"/>
      <c r="MX53" s="21"/>
      <c r="MY53" s="21"/>
      <c r="MZ53" s="21"/>
      <c r="NA53" s="21"/>
      <c r="NB53" s="21"/>
      <c r="NC53" s="168">
        <v>1373908</v>
      </c>
      <c r="ND53" s="168">
        <v>1162229</v>
      </c>
      <c r="NE53" s="21"/>
      <c r="NF53" s="21"/>
      <c r="NG53" s="168">
        <v>8794913</v>
      </c>
      <c r="NH53" s="168">
        <v>7754819</v>
      </c>
      <c r="NI53" s="21"/>
      <c r="NJ53" s="21"/>
      <c r="NK53" s="21"/>
      <c r="NL53" s="21"/>
      <c r="NM53" s="168">
        <v>18682640</v>
      </c>
      <c r="NN53" s="168">
        <v>16074221</v>
      </c>
      <c r="NO53" s="168">
        <v>35028288</v>
      </c>
      <c r="NP53" s="168">
        <v>30620679</v>
      </c>
      <c r="NQ53" s="168" t="s">
        <v>826</v>
      </c>
      <c r="NR53" s="168" t="s">
        <v>769</v>
      </c>
      <c r="NS53" s="168" t="s">
        <v>770</v>
      </c>
      <c r="NT53" s="168" t="s">
        <v>771</v>
      </c>
      <c r="NU53" s="168">
        <v>9401</v>
      </c>
      <c r="NV53" s="168" t="s">
        <v>2104</v>
      </c>
      <c r="NW53" s="168" t="s">
        <v>28</v>
      </c>
      <c r="NX53" s="168" t="s">
        <v>25</v>
      </c>
      <c r="NY53" s="169">
        <v>42916</v>
      </c>
      <c r="NZ53" s="169">
        <v>42551</v>
      </c>
      <c r="OA53" s="169">
        <v>43105</v>
      </c>
      <c r="OB53" s="168" t="s">
        <v>1192</v>
      </c>
      <c r="OC53" s="168">
        <v>12</v>
      </c>
      <c r="OD53" s="168" t="s">
        <v>2105</v>
      </c>
      <c r="OE53" s="168" t="s">
        <v>2154</v>
      </c>
      <c r="OF53" s="168" t="s">
        <v>2359</v>
      </c>
      <c r="OG53" s="168" t="s">
        <v>1915</v>
      </c>
      <c r="OH53" s="168" t="s">
        <v>808</v>
      </c>
      <c r="OI53" s="168" t="s">
        <v>766</v>
      </c>
      <c r="OJ53" s="168" t="s">
        <v>3240</v>
      </c>
      <c r="OK53" s="168" t="s">
        <v>767</v>
      </c>
    </row>
    <row r="54" spans="1:401" x14ac:dyDescent="0.2">
      <c r="A54" s="170" t="str">
        <f>Liste[[#This Row],[Siren]]</f>
        <v>775610447</v>
      </c>
      <c r="B54" s="198" t="str">
        <f>Liste[[#This Row],[Dénomination]]&amp;" - comptes "&amp;YEAR(Liste[[#This Row],[Date de cloture de l''exercice]])</f>
        <v>SOCIETE COOPERATIVE AGRICOLE DU PAYS DE LOIRE - comptes 2017</v>
      </c>
      <c r="C54" s="21"/>
      <c r="D54" s="21"/>
      <c r="E54" s="168">
        <v>2566993</v>
      </c>
      <c r="F54" s="168">
        <v>18236693</v>
      </c>
      <c r="G54" s="168">
        <v>21065175</v>
      </c>
      <c r="H54" s="168">
        <v>20803686</v>
      </c>
      <c r="I54" s="168">
        <v>16560503</v>
      </c>
      <c r="J54" s="168">
        <v>7270798</v>
      </c>
      <c r="K54" s="168">
        <v>7064524</v>
      </c>
      <c r="L54" s="168">
        <v>23831301</v>
      </c>
      <c r="M54" s="168">
        <v>196000</v>
      </c>
      <c r="N54" s="168">
        <v>63568</v>
      </c>
      <c r="O54" s="168">
        <v>120802</v>
      </c>
      <c r="P54" s="168">
        <v>259568</v>
      </c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168">
        <v>13718</v>
      </c>
      <c r="AE54" s="168">
        <v>127260</v>
      </c>
      <c r="AF54" s="168">
        <v>13718</v>
      </c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168">
        <v>1025825</v>
      </c>
      <c r="BD54" s="168">
        <v>24245534</v>
      </c>
      <c r="BE54" s="168">
        <v>25145697</v>
      </c>
      <c r="BF54" s="168">
        <v>25271359</v>
      </c>
      <c r="BG54" s="168">
        <v>1018754</v>
      </c>
      <c r="BH54" s="168">
        <v>214268</v>
      </c>
      <c r="BI54" s="168">
        <v>191953</v>
      </c>
      <c r="BJ54" s="168">
        <v>1233022</v>
      </c>
      <c r="BK54" s="168">
        <v>28817397</v>
      </c>
      <c r="BL54" s="168">
        <v>12750298</v>
      </c>
      <c r="BM54" s="168">
        <v>12812063</v>
      </c>
      <c r="BN54" s="168">
        <v>41567695</v>
      </c>
      <c r="BO54" s="21"/>
      <c r="BP54" s="21"/>
      <c r="BQ54" s="21"/>
      <c r="BR54" s="21"/>
      <c r="BS54" s="21"/>
      <c r="BT54" s="21"/>
      <c r="BU54" s="21"/>
      <c r="BV54" s="21"/>
      <c r="BW54" s="21"/>
      <c r="BX54" s="168">
        <v>6641148</v>
      </c>
      <c r="BY54" s="168">
        <v>7120806</v>
      </c>
      <c r="BZ54" s="168">
        <v>6641148</v>
      </c>
      <c r="CA54" s="21"/>
      <c r="CB54" s="21"/>
      <c r="CC54" s="21"/>
      <c r="CD54" s="168">
        <v>118451</v>
      </c>
      <c r="CE54" s="168">
        <v>381765</v>
      </c>
      <c r="CF54" s="168">
        <v>300405</v>
      </c>
      <c r="CG54" s="168">
        <v>500216</v>
      </c>
      <c r="CH54" s="21"/>
      <c r="CI54" s="21"/>
      <c r="CJ54" s="21"/>
      <c r="CK54" s="21"/>
      <c r="CL54" s="21"/>
      <c r="CM54" s="21"/>
      <c r="CN54" s="21"/>
      <c r="CO54" s="21"/>
      <c r="CP54" s="168">
        <v>1250630</v>
      </c>
      <c r="CQ54" s="168">
        <v>929872</v>
      </c>
      <c r="CR54" s="168">
        <v>848832</v>
      </c>
      <c r="CS54" s="168">
        <v>2180502</v>
      </c>
      <c r="CT54" s="168">
        <v>85573</v>
      </c>
      <c r="CU54" s="168">
        <v>1418</v>
      </c>
      <c r="CV54" s="168">
        <v>2035</v>
      </c>
      <c r="CW54" s="168">
        <v>86991</v>
      </c>
      <c r="CX54" s="21"/>
      <c r="CY54" s="21"/>
      <c r="CZ54" s="21"/>
      <c r="DA54" s="21"/>
      <c r="DB54" s="21"/>
      <c r="DC54" s="168">
        <v>2161148</v>
      </c>
      <c r="DD54" s="168">
        <v>2343683</v>
      </c>
      <c r="DE54" s="168">
        <v>2161148</v>
      </c>
      <c r="DF54" s="168">
        <v>13548659</v>
      </c>
      <c r="DG54" s="168">
        <v>5197630</v>
      </c>
      <c r="DH54" s="168">
        <v>3584456</v>
      </c>
      <c r="DI54" s="168">
        <v>18746289</v>
      </c>
      <c r="DJ54" s="21"/>
      <c r="DK54" s="21"/>
      <c r="DL54" s="21"/>
      <c r="DM54" s="21"/>
      <c r="DN54" s="21"/>
      <c r="DO54" s="21"/>
      <c r="DP54" s="21"/>
      <c r="DQ54" s="21"/>
      <c r="DR54" s="21"/>
      <c r="DS54" s="168">
        <v>2080410</v>
      </c>
      <c r="DT54" s="168">
        <v>1404683</v>
      </c>
      <c r="DU54" s="168">
        <v>2080410</v>
      </c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168">
        <v>61595967</v>
      </c>
      <c r="EL54" s="168">
        <v>32575514</v>
      </c>
      <c r="EM54" s="168">
        <v>30186329</v>
      </c>
      <c r="EN54" s="168">
        <v>94171481</v>
      </c>
      <c r="EO54" s="168">
        <v>3630726</v>
      </c>
      <c r="EP54" s="168">
        <v>91228369</v>
      </c>
      <c r="EQ54" s="168">
        <v>94341577</v>
      </c>
      <c r="ER54" s="168">
        <v>94859095</v>
      </c>
      <c r="ES54" s="168">
        <v>65226693</v>
      </c>
      <c r="ET54" s="168">
        <v>123803882</v>
      </c>
      <c r="EU54" s="168">
        <v>124527906</v>
      </c>
      <c r="EV54" s="168">
        <v>189030575</v>
      </c>
      <c r="EW54" s="21"/>
      <c r="EX54" s="168">
        <v>1285589</v>
      </c>
      <c r="EY54" s="168">
        <v>1212177</v>
      </c>
      <c r="EZ54" s="168">
        <v>1285589</v>
      </c>
      <c r="FA54" s="21"/>
      <c r="FB54" s="168">
        <v>225032</v>
      </c>
      <c r="FC54" s="168">
        <v>173456</v>
      </c>
      <c r="FD54" s="168">
        <v>225032</v>
      </c>
      <c r="FE54" s="21"/>
      <c r="FF54" s="21"/>
      <c r="FG54" s="21"/>
      <c r="FH54" s="21"/>
      <c r="FI54" s="168">
        <v>332730</v>
      </c>
      <c r="FJ54" s="168">
        <v>184754</v>
      </c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168">
        <v>-123473</v>
      </c>
      <c r="FV54" s="168">
        <v>-72241</v>
      </c>
      <c r="FW54" s="168">
        <v>-23235</v>
      </c>
      <c r="FX54" s="168">
        <v>10359</v>
      </c>
      <c r="FY54" s="168">
        <v>2</v>
      </c>
      <c r="FZ54" s="168">
        <v>5</v>
      </c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168">
        <v>1743783</v>
      </c>
      <c r="GN54" s="168">
        <v>1771782</v>
      </c>
      <c r="GO54" s="168">
        <v>17188951</v>
      </c>
      <c r="GP54" s="168">
        <v>17819901</v>
      </c>
      <c r="GQ54" s="168">
        <v>24889</v>
      </c>
      <c r="GR54" s="168">
        <v>33059</v>
      </c>
      <c r="GS54" s="168">
        <v>1743781</v>
      </c>
      <c r="GT54" s="168">
        <v>1771777</v>
      </c>
      <c r="GU54" s="168">
        <v>339458</v>
      </c>
      <c r="GV54" s="168">
        <v>716571</v>
      </c>
      <c r="GW54" s="168">
        <v>672188</v>
      </c>
      <c r="GX54" s="168">
        <v>901325</v>
      </c>
      <c r="GY54" s="168">
        <v>113733530</v>
      </c>
      <c r="GZ54" s="168">
        <v>117795152</v>
      </c>
      <c r="HA54" s="168">
        <v>31561020</v>
      </c>
      <c r="HB54" s="168">
        <v>42934090</v>
      </c>
      <c r="HC54" s="21"/>
      <c r="HD54" s="21"/>
      <c r="HE54" s="168">
        <v>307488</v>
      </c>
      <c r="HF54" s="168">
        <v>573873</v>
      </c>
      <c r="HG54" s="21"/>
      <c r="HH54" s="21"/>
      <c r="HI54" s="168">
        <v>2688</v>
      </c>
      <c r="HJ54" s="168">
        <v>17115</v>
      </c>
      <c r="HK54" s="21"/>
      <c r="HL54" s="21"/>
      <c r="HM54" s="21"/>
      <c r="HN54" s="21"/>
      <c r="HO54" s="21"/>
      <c r="HP54" s="21"/>
      <c r="HQ54" s="21"/>
      <c r="HR54" s="21"/>
      <c r="HS54" s="21"/>
      <c r="HT54" s="21"/>
      <c r="HU54" s="168">
        <v>4199282</v>
      </c>
      <c r="HV54" s="168">
        <v>3998246</v>
      </c>
      <c r="HW54" s="168">
        <v>1339493</v>
      </c>
      <c r="HX54" s="168">
        <v>1569798</v>
      </c>
      <c r="HY54" s="21"/>
      <c r="HZ54" s="21"/>
      <c r="IA54" s="21"/>
      <c r="IB54" s="21"/>
      <c r="IC54" s="21"/>
      <c r="ID54" s="21"/>
      <c r="IE54" s="168">
        <v>844208</v>
      </c>
      <c r="IF54" s="168">
        <v>963900</v>
      </c>
      <c r="IG54" s="21"/>
      <c r="IH54" s="21"/>
      <c r="II54" s="21"/>
      <c r="IJ54" s="21"/>
      <c r="IK54" s="168">
        <v>96908</v>
      </c>
      <c r="IL54" s="168">
        <v>70982</v>
      </c>
      <c r="IM54" s="21"/>
      <c r="IN54" s="21"/>
      <c r="IO54" s="21"/>
      <c r="IP54" s="21"/>
      <c r="IQ54" s="21"/>
      <c r="IR54" s="21"/>
      <c r="IS54" s="21"/>
      <c r="IT54" s="21"/>
      <c r="IU54" s="168">
        <v>1239457</v>
      </c>
      <c r="IV54" s="168">
        <v>1492087</v>
      </c>
      <c r="IW54" s="168">
        <v>1800325</v>
      </c>
      <c r="IX54" s="168">
        <v>1836790</v>
      </c>
      <c r="IY54" s="168">
        <v>-560868</v>
      </c>
      <c r="IZ54" s="168">
        <v>-344703</v>
      </c>
      <c r="JA54" s="168">
        <v>1421697</v>
      </c>
      <c r="JB54" s="168">
        <v>1404270</v>
      </c>
      <c r="JC54" s="21"/>
      <c r="JD54" s="21"/>
      <c r="JE54" s="168">
        <v>4095189</v>
      </c>
      <c r="JF54" s="168">
        <v>4205638</v>
      </c>
      <c r="JG54" s="168">
        <v>4713</v>
      </c>
      <c r="JH54" s="168">
        <v>7494</v>
      </c>
      <c r="JI54" s="168">
        <v>181770539</v>
      </c>
      <c r="JJ54" s="168">
        <v>192445938</v>
      </c>
      <c r="JK54" s="168">
        <v>1334047</v>
      </c>
      <c r="JL54" s="168">
        <v>1327107</v>
      </c>
      <c r="JM54" s="168">
        <v>183570864</v>
      </c>
      <c r="JN54" s="168">
        <v>194282729</v>
      </c>
      <c r="JO54" s="168">
        <v>773177</v>
      </c>
      <c r="JP54" s="168">
        <v>982403</v>
      </c>
      <c r="JQ54" s="168">
        <v>-1558989</v>
      </c>
      <c r="JR54" s="168">
        <v>-2113397</v>
      </c>
      <c r="JS54" s="21"/>
      <c r="JT54" s="21"/>
      <c r="JU54" s="21"/>
      <c r="JV54" s="21"/>
      <c r="JW54" s="168">
        <v>182044858</v>
      </c>
      <c r="JX54" s="168">
        <v>192782867</v>
      </c>
      <c r="JY54" s="21"/>
      <c r="JZ54" s="21"/>
      <c r="KA54" s="21"/>
      <c r="KB54" s="21"/>
      <c r="KC54" s="21"/>
      <c r="KD54" s="21"/>
      <c r="KE54" s="21"/>
      <c r="KF54" s="21"/>
      <c r="KG54" s="21"/>
      <c r="KH54" s="21"/>
      <c r="KI54" s="21"/>
      <c r="KJ54" s="21"/>
      <c r="KK54" s="21"/>
      <c r="KL54" s="21"/>
      <c r="KM54" s="21"/>
      <c r="KN54" s="21"/>
      <c r="KO54" s="21"/>
      <c r="KP54" s="21"/>
      <c r="KQ54" s="168">
        <v>4528719</v>
      </c>
      <c r="KR54" s="168">
        <v>5423496</v>
      </c>
      <c r="KS54" s="21"/>
      <c r="KT54" s="21"/>
      <c r="KU54" s="168">
        <v>8530996</v>
      </c>
      <c r="KV54" s="168">
        <v>7056172</v>
      </c>
      <c r="KW54" s="21"/>
      <c r="KX54" s="21"/>
      <c r="KY54" s="21"/>
      <c r="KZ54" s="21"/>
      <c r="LA54" s="168">
        <v>4196178</v>
      </c>
      <c r="LB54" s="168">
        <v>4193015</v>
      </c>
      <c r="LC54" s="168">
        <v>364</v>
      </c>
      <c r="LD54" s="168">
        <v>359</v>
      </c>
      <c r="LE54" s="168">
        <v>2</v>
      </c>
      <c r="LF54" s="168">
        <v>5</v>
      </c>
      <c r="LG54" s="21"/>
      <c r="LH54" s="21"/>
      <c r="LI54" s="21"/>
      <c r="LJ54" s="21"/>
      <c r="LK54" s="168">
        <v>17080921</v>
      </c>
      <c r="LL54" s="168">
        <v>17439196</v>
      </c>
      <c r="LM54" s="168">
        <v>1689613</v>
      </c>
      <c r="LN54" s="168">
        <v>1731205</v>
      </c>
      <c r="LO54" s="21"/>
      <c r="LP54" s="21"/>
      <c r="LQ54" s="21"/>
      <c r="LR54" s="21"/>
      <c r="LS54" s="21"/>
      <c r="LT54" s="21"/>
      <c r="LU54" s="21"/>
      <c r="LV54" s="21"/>
      <c r="LW54" s="21"/>
      <c r="LX54" s="21"/>
      <c r="LY54" s="168">
        <v>100792</v>
      </c>
      <c r="LZ54" s="168">
        <v>113392</v>
      </c>
      <c r="MA54" s="21"/>
      <c r="MB54" s="21"/>
      <c r="MC54" s="168">
        <v>69334929</v>
      </c>
      <c r="MD54" s="168">
        <v>70469072</v>
      </c>
      <c r="ME54" s="21"/>
      <c r="MF54" s="21"/>
      <c r="MG54" s="168">
        <v>771735</v>
      </c>
      <c r="MH54" s="168">
        <v>881114</v>
      </c>
      <c r="MI54" s="21"/>
      <c r="MJ54" s="21"/>
      <c r="MK54" s="21"/>
      <c r="ML54" s="21"/>
      <c r="MM54" s="21"/>
      <c r="MN54" s="168">
        <v>1</v>
      </c>
      <c r="MO54" s="168">
        <v>1507975</v>
      </c>
      <c r="MP54" s="168">
        <v>1474416</v>
      </c>
      <c r="MQ54" s="168">
        <v>138730</v>
      </c>
      <c r="MR54" s="168">
        <v>65104</v>
      </c>
      <c r="MS54" s="21"/>
      <c r="MT54" s="21"/>
      <c r="MU54" s="21"/>
      <c r="MV54" s="21"/>
      <c r="MW54" s="168">
        <v>2366459</v>
      </c>
      <c r="MX54" s="168">
        <v>2199200</v>
      </c>
      <c r="MY54" s="168">
        <v>563756</v>
      </c>
      <c r="MZ54" s="168">
        <v>560631</v>
      </c>
      <c r="NA54" s="168">
        <v>8044602</v>
      </c>
      <c r="NB54" s="168">
        <v>8044603</v>
      </c>
      <c r="NC54" s="168">
        <v>1743781</v>
      </c>
      <c r="ND54" s="168">
        <v>1771777</v>
      </c>
      <c r="NE54" s="21"/>
      <c r="NF54" s="21"/>
      <c r="NG54" s="168">
        <v>26650102</v>
      </c>
      <c r="NH54" s="168">
        <v>24930546</v>
      </c>
      <c r="NI54" s="21"/>
      <c r="NJ54" s="21"/>
      <c r="NK54" s="168">
        <v>366</v>
      </c>
      <c r="NL54" s="168">
        <v>364</v>
      </c>
      <c r="NM54" s="168">
        <v>92634182</v>
      </c>
      <c r="NN54" s="168">
        <v>95062970</v>
      </c>
      <c r="NO54" s="168">
        <v>123803882</v>
      </c>
      <c r="NP54" s="168">
        <v>124527906</v>
      </c>
      <c r="NQ54" s="168" t="s">
        <v>3358</v>
      </c>
      <c r="NR54" s="168" t="s">
        <v>1251</v>
      </c>
      <c r="NS54" s="168" t="s">
        <v>770</v>
      </c>
      <c r="NT54" s="168" t="s">
        <v>771</v>
      </c>
      <c r="NU54" s="168">
        <v>4901</v>
      </c>
      <c r="NV54" s="168" t="s">
        <v>2104</v>
      </c>
      <c r="NW54" s="168" t="s">
        <v>28</v>
      </c>
      <c r="NX54" s="168" t="s">
        <v>25</v>
      </c>
      <c r="NY54" s="169">
        <v>42916</v>
      </c>
      <c r="NZ54" s="169">
        <v>42551</v>
      </c>
      <c r="OA54" s="169">
        <v>43109</v>
      </c>
      <c r="OB54" s="168" t="s">
        <v>3359</v>
      </c>
      <c r="OC54" s="168">
        <v>12</v>
      </c>
      <c r="OD54" s="168" t="s">
        <v>2105</v>
      </c>
      <c r="OE54" s="168" t="s">
        <v>2288</v>
      </c>
      <c r="OF54" s="168" t="s">
        <v>3360</v>
      </c>
      <c r="OG54" s="168" t="s">
        <v>3361</v>
      </c>
      <c r="OH54" s="168" t="s">
        <v>798</v>
      </c>
      <c r="OI54" s="168" t="s">
        <v>766</v>
      </c>
      <c r="OJ54" s="168" t="s">
        <v>3240</v>
      </c>
      <c r="OK54" s="168" t="s">
        <v>1249</v>
      </c>
    </row>
    <row r="55" spans="1:401" x14ac:dyDescent="0.2">
      <c r="A55" s="170" t="str">
        <f>Liste[[#This Row],[Siren]]</f>
        <v>501728000</v>
      </c>
      <c r="B55" s="198" t="str">
        <f>Liste[[#This Row],[Dénomination]]&amp;" - comptes "&amp;YEAR(Liste[[#This Row],[Date de cloture de l''exercice]])</f>
        <v>FP HOLDING - comptes 2017</v>
      </c>
      <c r="C55" s="21"/>
      <c r="D55" s="21"/>
      <c r="E55" s="168">
        <v>726000</v>
      </c>
      <c r="F55" s="168">
        <v>7121000</v>
      </c>
      <c r="G55" s="168">
        <v>8274000</v>
      </c>
      <c r="H55" s="168">
        <v>7847000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168">
        <v>161000</v>
      </c>
      <c r="BD55" s="168">
        <v>10383000</v>
      </c>
      <c r="BE55" s="168">
        <v>9978000</v>
      </c>
      <c r="BF55" s="168">
        <v>10544000</v>
      </c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168">
        <v>2289000</v>
      </c>
      <c r="BY55" s="168">
        <v>3082000</v>
      </c>
      <c r="BZ55" s="168">
        <v>2289000</v>
      </c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168">
        <v>1124000</v>
      </c>
      <c r="EH55" s="168">
        <v>4953000</v>
      </c>
      <c r="EI55" s="168">
        <v>3040000</v>
      </c>
      <c r="EJ55" s="168">
        <v>6077000</v>
      </c>
      <c r="EK55" s="168">
        <v>24330000</v>
      </c>
      <c r="EL55" s="168">
        <v>25793000</v>
      </c>
      <c r="EM55" s="168">
        <v>22927000</v>
      </c>
      <c r="EN55" s="168">
        <v>50122000</v>
      </c>
      <c r="EO55" s="168">
        <v>955000</v>
      </c>
      <c r="EP55" s="168">
        <v>19901000</v>
      </c>
      <c r="EQ55" s="168">
        <v>21379000</v>
      </c>
      <c r="ER55" s="168">
        <v>20856000</v>
      </c>
      <c r="ES55" s="168">
        <v>25284000</v>
      </c>
      <c r="ET55" s="168">
        <v>45694000</v>
      </c>
      <c r="EU55" s="168">
        <v>44306000</v>
      </c>
      <c r="EV55" s="168">
        <v>70978000</v>
      </c>
      <c r="EW55" s="21"/>
      <c r="EX55" s="21"/>
      <c r="EY55" s="21"/>
      <c r="EZ55" s="21"/>
      <c r="FA55" s="21"/>
      <c r="FB55" s="168">
        <v>19000</v>
      </c>
      <c r="FC55" s="168">
        <v>22000</v>
      </c>
      <c r="FD55" s="168">
        <v>19000</v>
      </c>
      <c r="FE55" s="168">
        <v>68000</v>
      </c>
      <c r="FF55" s="168">
        <v>21000</v>
      </c>
      <c r="FG55" s="168">
        <v>21000</v>
      </c>
      <c r="FH55" s="168">
        <v>89000</v>
      </c>
      <c r="FI55" s="168">
        <v>2453000</v>
      </c>
      <c r="FJ55" s="168">
        <v>234000</v>
      </c>
      <c r="FK55" s="21"/>
      <c r="FL55" s="21"/>
      <c r="FM55" s="21"/>
      <c r="FN55" s="21"/>
      <c r="FO55" s="21"/>
      <c r="FP55" s="21"/>
      <c r="FQ55" s="168">
        <v>-308000</v>
      </c>
      <c r="FR55" s="168">
        <v>-192000</v>
      </c>
      <c r="FS55" s="21"/>
      <c r="FT55" s="21"/>
      <c r="FU55" s="21"/>
      <c r="FV55" s="21"/>
      <c r="FW55" s="21"/>
      <c r="FX55" s="21"/>
      <c r="FY55" s="168">
        <v>-241000</v>
      </c>
      <c r="FZ55" s="168">
        <v>64000</v>
      </c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168">
        <v>-909000</v>
      </c>
      <c r="GN55" s="168">
        <v>448000</v>
      </c>
      <c r="GO55" s="21"/>
      <c r="GP55" s="21"/>
      <c r="GQ55" s="168">
        <v>-2000</v>
      </c>
      <c r="GR55" s="168">
        <v>2000</v>
      </c>
      <c r="GS55" s="168">
        <v>-668000</v>
      </c>
      <c r="GT55" s="168">
        <v>384000</v>
      </c>
      <c r="GU55" s="168">
        <v>1661000</v>
      </c>
      <c r="GV55" s="168">
        <v>285000</v>
      </c>
      <c r="GW55" s="168">
        <v>4114000</v>
      </c>
      <c r="GX55" s="168">
        <v>519000</v>
      </c>
      <c r="GY55" s="21"/>
      <c r="GZ55" s="21"/>
      <c r="HA55" s="21"/>
      <c r="HB55" s="21"/>
      <c r="HC55" s="168">
        <v>78468000</v>
      </c>
      <c r="HD55" s="168">
        <v>11249000</v>
      </c>
      <c r="HE55" s="168">
        <v>536000</v>
      </c>
      <c r="HF55" s="168">
        <v>365000</v>
      </c>
      <c r="HG55" s="21"/>
      <c r="HH55" s="21"/>
      <c r="HI55" s="168">
        <v>1409000</v>
      </c>
      <c r="HJ55" s="168">
        <v>1435000</v>
      </c>
      <c r="HK55" s="21"/>
      <c r="HL55" s="21"/>
      <c r="HM55" s="21"/>
      <c r="HN55" s="21"/>
      <c r="HO55" s="21"/>
      <c r="HP55" s="21"/>
      <c r="HQ55" s="21"/>
      <c r="HR55" s="21"/>
      <c r="HS55" s="21"/>
      <c r="HT55" s="21"/>
      <c r="HU55" s="21"/>
      <c r="HV55" s="21"/>
      <c r="HW55" s="21"/>
      <c r="HX55" s="21"/>
      <c r="HY55" s="21"/>
      <c r="HZ55" s="21"/>
      <c r="IA55" s="21"/>
      <c r="IB55" s="21"/>
      <c r="IC55" s="21"/>
      <c r="ID55" s="21"/>
      <c r="IE55" s="168">
        <v>1791000</v>
      </c>
      <c r="IF55" s="168">
        <v>1108000</v>
      </c>
      <c r="IG55" s="21"/>
      <c r="IH55" s="21"/>
      <c r="II55" s="21"/>
      <c r="IJ55" s="21"/>
      <c r="IK55" s="21"/>
      <c r="IL55" s="21"/>
      <c r="IM55" s="21"/>
      <c r="IN55" s="21"/>
      <c r="IO55" s="21"/>
      <c r="IP55" s="21"/>
      <c r="IQ55" s="21"/>
      <c r="IR55" s="21"/>
      <c r="IS55" s="21"/>
      <c r="IT55" s="21"/>
      <c r="IU55" s="168">
        <v>-1816000</v>
      </c>
      <c r="IV55" s="168">
        <v>-238000</v>
      </c>
      <c r="IW55" s="168">
        <v>-1329000</v>
      </c>
      <c r="IX55" s="168">
        <v>150000</v>
      </c>
      <c r="IY55" s="168">
        <v>-487000</v>
      </c>
      <c r="IZ55" s="168">
        <v>-388000</v>
      </c>
      <c r="JA55" s="21"/>
      <c r="JB55" s="21"/>
      <c r="JC55" s="21"/>
      <c r="JD55" s="21"/>
      <c r="JE55" s="168">
        <v>23449000</v>
      </c>
      <c r="JF55" s="168">
        <v>15451000</v>
      </c>
      <c r="JG55" s="21"/>
      <c r="JH55" s="21"/>
      <c r="JI55" s="168">
        <v>106292000</v>
      </c>
      <c r="JJ55" s="168">
        <v>29054000</v>
      </c>
      <c r="JK55" s="168">
        <v>812000</v>
      </c>
      <c r="JL55" s="168">
        <v>611000</v>
      </c>
      <c r="JM55" s="168">
        <v>104963000</v>
      </c>
      <c r="JN55" s="168">
        <v>29204000</v>
      </c>
      <c r="JO55" s="168">
        <v>325000</v>
      </c>
      <c r="JP55" s="168">
        <v>222000</v>
      </c>
      <c r="JQ55" s="21"/>
      <c r="JR55" s="21"/>
      <c r="JS55" s="21"/>
      <c r="JT55" s="21"/>
      <c r="JU55" s="21"/>
      <c r="JV55" s="21"/>
      <c r="JW55" s="168">
        <v>103553000</v>
      </c>
      <c r="JX55" s="168">
        <v>27769000</v>
      </c>
      <c r="JY55" s="21"/>
      <c r="JZ55" s="21"/>
      <c r="KA55" s="21"/>
      <c r="KB55" s="21"/>
      <c r="KC55" s="21"/>
      <c r="KD55" s="21"/>
      <c r="KE55" s="21"/>
      <c r="KF55" s="21"/>
      <c r="KG55" s="21"/>
      <c r="KH55" s="21"/>
      <c r="KI55" s="21"/>
      <c r="KJ55" s="21"/>
      <c r="KK55" s="21"/>
      <c r="KL55" s="21"/>
      <c r="KM55" s="21"/>
      <c r="KN55" s="21"/>
      <c r="KO55" s="21"/>
      <c r="KP55" s="21"/>
      <c r="KQ55" s="21"/>
      <c r="KR55" s="21"/>
      <c r="KS55" s="21"/>
      <c r="KT55" s="21"/>
      <c r="KU55" s="21"/>
      <c r="KV55" s="21"/>
      <c r="KW55" s="21"/>
      <c r="KX55" s="21"/>
      <c r="KY55" s="21"/>
      <c r="KZ55" s="21"/>
      <c r="LA55" s="168">
        <v>2915000</v>
      </c>
      <c r="LB55" s="168">
        <v>2915000</v>
      </c>
      <c r="LC55" s="21"/>
      <c r="LD55" s="21"/>
      <c r="LE55" s="21"/>
      <c r="LF55" s="21"/>
      <c r="LG55" s="21"/>
      <c r="LH55" s="21"/>
      <c r="LI55" s="168">
        <v>5925000</v>
      </c>
      <c r="LJ55" s="168">
        <v>5186000</v>
      </c>
      <c r="LK55" s="168">
        <v>14371000</v>
      </c>
      <c r="LL55" s="168">
        <v>17203000</v>
      </c>
      <c r="LM55" s="21"/>
      <c r="LN55" s="21"/>
      <c r="LO55" s="21"/>
      <c r="LP55" s="21"/>
      <c r="LQ55" s="21"/>
      <c r="LR55" s="21"/>
      <c r="LS55" s="21"/>
      <c r="LT55" s="21"/>
      <c r="LU55" s="21"/>
      <c r="LV55" s="21"/>
      <c r="LW55" s="168">
        <v>-152000</v>
      </c>
      <c r="LX55" s="168">
        <v>-154000</v>
      </c>
      <c r="LY55" s="21"/>
      <c r="LZ55" s="21"/>
      <c r="MA55" s="168">
        <v>6439000</v>
      </c>
      <c r="MB55" s="168">
        <v>2039000</v>
      </c>
      <c r="MC55" s="21"/>
      <c r="MD55" s="21"/>
      <c r="ME55" s="21"/>
      <c r="MF55" s="21"/>
      <c r="MG55" s="21"/>
      <c r="MH55" s="21"/>
      <c r="MI55" s="21"/>
      <c r="MJ55" s="21"/>
      <c r="MK55" s="21"/>
      <c r="ML55" s="21"/>
      <c r="MM55" s="21"/>
      <c r="MN55" s="21"/>
      <c r="MO55" s="21"/>
      <c r="MP55" s="21"/>
      <c r="MQ55" s="21"/>
      <c r="MR55" s="21"/>
      <c r="MS55" s="21"/>
      <c r="MT55" s="21"/>
      <c r="MU55" s="21"/>
      <c r="MV55" s="21"/>
      <c r="MW55" s="21"/>
      <c r="MX55" s="21"/>
      <c r="MY55" s="21"/>
      <c r="MZ55" s="21"/>
      <c r="NA55" s="21"/>
      <c r="NB55" s="21"/>
      <c r="NC55" s="168">
        <v>-668000</v>
      </c>
      <c r="ND55" s="168">
        <v>384000</v>
      </c>
      <c r="NE55" s="21"/>
      <c r="NF55" s="21"/>
      <c r="NG55" s="168">
        <v>8520000</v>
      </c>
      <c r="NH55" s="168">
        <v>9188000</v>
      </c>
      <c r="NI55" s="21"/>
      <c r="NJ55" s="21"/>
      <c r="NK55" s="168">
        <v>1149000</v>
      </c>
      <c r="NL55" s="168">
        <v>668000</v>
      </c>
      <c r="NM55" s="168">
        <v>35185000</v>
      </c>
      <c r="NN55" s="168">
        <v>33019000</v>
      </c>
      <c r="NO55" s="168">
        <v>45694000</v>
      </c>
      <c r="NP55" s="168">
        <v>44306000</v>
      </c>
      <c r="NQ55" s="168" t="s">
        <v>3362</v>
      </c>
      <c r="NR55" s="168" t="s">
        <v>958</v>
      </c>
      <c r="NS55" s="168" t="s">
        <v>770</v>
      </c>
      <c r="NT55" s="168" t="s">
        <v>771</v>
      </c>
      <c r="NU55" s="168">
        <v>7802</v>
      </c>
      <c r="NV55" s="168" t="s">
        <v>2104</v>
      </c>
      <c r="NW55" s="168" t="s">
        <v>28</v>
      </c>
      <c r="NX55" s="168" t="s">
        <v>25</v>
      </c>
      <c r="NY55" s="169">
        <v>42916</v>
      </c>
      <c r="NZ55" s="169">
        <v>42369</v>
      </c>
      <c r="OA55" s="169">
        <v>43125</v>
      </c>
      <c r="OB55" s="168" t="s">
        <v>3363</v>
      </c>
      <c r="OC55" s="168">
        <v>18</v>
      </c>
      <c r="OD55" s="168" t="s">
        <v>2105</v>
      </c>
      <c r="OE55" s="168" t="s">
        <v>2204</v>
      </c>
      <c r="OF55" s="168" t="s">
        <v>3364</v>
      </c>
      <c r="OG55" s="168" t="s">
        <v>3365</v>
      </c>
      <c r="OH55" s="168" t="s">
        <v>843</v>
      </c>
      <c r="OI55" s="168" t="s">
        <v>766</v>
      </c>
      <c r="OJ55" s="168" t="s">
        <v>3240</v>
      </c>
      <c r="OK55" s="168" t="s">
        <v>957</v>
      </c>
    </row>
    <row r="56" spans="1:401" x14ac:dyDescent="0.2">
      <c r="A56" s="170" t="str">
        <f>Liste[[#This Row],[Siren]]</f>
        <v>437522709</v>
      </c>
      <c r="B56" s="198" t="str">
        <f>Liste[[#This Row],[Dénomination]]&amp;" - comptes "&amp;YEAR(Liste[[#This Row],[Date de cloture de l''exercice]])</f>
        <v>COTE NATURE DEVELOPPEMENT - comptes 2017</v>
      </c>
      <c r="C56" s="21"/>
      <c r="D56" s="21"/>
      <c r="E56" s="168">
        <v>8311</v>
      </c>
      <c r="F56" s="168">
        <v>1352490</v>
      </c>
      <c r="G56" s="168">
        <v>1628427</v>
      </c>
      <c r="H56" s="168">
        <v>1360802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168">
        <v>296702</v>
      </c>
      <c r="BA56" s="168">
        <v>281230</v>
      </c>
      <c r="BB56" s="168">
        <v>296702</v>
      </c>
      <c r="BC56" s="168">
        <v>39487</v>
      </c>
      <c r="BD56" s="168">
        <v>1155320</v>
      </c>
      <c r="BE56" s="168">
        <v>1210383</v>
      </c>
      <c r="BF56" s="168">
        <v>1194807</v>
      </c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168">
        <v>3349766</v>
      </c>
      <c r="EI56" s="168">
        <v>3349765</v>
      </c>
      <c r="EJ56" s="168">
        <v>3349766</v>
      </c>
      <c r="EK56" s="168">
        <v>23167072</v>
      </c>
      <c r="EL56" s="168">
        <v>15498933</v>
      </c>
      <c r="EM56" s="168">
        <v>16145924</v>
      </c>
      <c r="EN56" s="168">
        <v>38666005</v>
      </c>
      <c r="EO56" s="168">
        <v>47798</v>
      </c>
      <c r="EP56" s="168">
        <v>18167599</v>
      </c>
      <c r="EQ56" s="168">
        <v>20123691</v>
      </c>
      <c r="ER56" s="168">
        <v>18215398</v>
      </c>
      <c r="ES56" s="168">
        <v>23214870</v>
      </c>
      <c r="ET56" s="168">
        <v>33666532</v>
      </c>
      <c r="EU56" s="168">
        <v>36269615</v>
      </c>
      <c r="EV56" s="168">
        <v>56881403</v>
      </c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168">
        <v>144342</v>
      </c>
      <c r="FJ56" s="168">
        <v>-27651</v>
      </c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168">
        <v>65129</v>
      </c>
      <c r="FV56" s="168">
        <v>391827</v>
      </c>
      <c r="FW56" s="168">
        <v>66650</v>
      </c>
      <c r="FX56" s="168">
        <v>-37122</v>
      </c>
      <c r="FY56" s="168">
        <v>2307</v>
      </c>
      <c r="FZ56" s="168">
        <v>2359</v>
      </c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168">
        <v>485275</v>
      </c>
      <c r="GN56" s="168">
        <v>874407</v>
      </c>
      <c r="GO56" s="21"/>
      <c r="GP56" s="21"/>
      <c r="GQ56" s="21"/>
      <c r="GR56" s="21"/>
      <c r="GS56" s="168">
        <v>482968</v>
      </c>
      <c r="GT56" s="168">
        <v>872048</v>
      </c>
      <c r="GU56" s="168">
        <v>9509</v>
      </c>
      <c r="GV56" s="168">
        <v>229816</v>
      </c>
      <c r="GW56" s="168">
        <v>153851</v>
      </c>
      <c r="GX56" s="168">
        <v>202165</v>
      </c>
      <c r="GY56" s="168">
        <v>17151530</v>
      </c>
      <c r="GZ56" s="168">
        <v>19431531</v>
      </c>
      <c r="HA56" s="21"/>
      <c r="HB56" s="21"/>
      <c r="HC56" s="21"/>
      <c r="HD56" s="21"/>
      <c r="HE56" s="168">
        <v>3588017</v>
      </c>
      <c r="HF56" s="168">
        <v>3873975</v>
      </c>
      <c r="HG56" s="21"/>
      <c r="HH56" s="21"/>
      <c r="HI56" s="168">
        <v>2572</v>
      </c>
      <c r="HJ56" s="168">
        <v>1311</v>
      </c>
      <c r="HK56" s="21"/>
      <c r="HL56" s="21"/>
      <c r="HM56" s="21"/>
      <c r="HN56" s="21"/>
      <c r="HO56" s="168">
        <v>1245757</v>
      </c>
      <c r="HP56" s="168">
        <v>1233251</v>
      </c>
      <c r="HQ56" s="21"/>
      <c r="HR56" s="21"/>
      <c r="HS56" s="21"/>
      <c r="HT56" s="21"/>
      <c r="HU56" s="21"/>
      <c r="HV56" s="21"/>
      <c r="HW56" s="21"/>
      <c r="HX56" s="21"/>
      <c r="HY56" s="21"/>
      <c r="HZ56" s="21"/>
      <c r="IA56" s="21"/>
      <c r="IB56" s="21"/>
      <c r="IC56" s="21"/>
      <c r="ID56" s="21"/>
      <c r="IE56" s="168">
        <v>1139579</v>
      </c>
      <c r="IF56" s="168">
        <v>1128803</v>
      </c>
      <c r="IG56" s="21"/>
      <c r="IH56" s="21"/>
      <c r="II56" s="21"/>
      <c r="IJ56" s="21"/>
      <c r="IK56" s="21"/>
      <c r="IL56" s="21"/>
      <c r="IM56" s="21"/>
      <c r="IN56" s="21"/>
      <c r="IO56" s="21"/>
      <c r="IP56" s="21"/>
      <c r="IQ56" s="21"/>
      <c r="IR56" s="21"/>
      <c r="IS56" s="21"/>
      <c r="IT56" s="21"/>
      <c r="IU56" s="168">
        <v>472712</v>
      </c>
      <c r="IV56" s="168">
        <v>1355830</v>
      </c>
      <c r="IW56" s="168">
        <v>776523</v>
      </c>
      <c r="IX56" s="168">
        <v>1593190</v>
      </c>
      <c r="IY56" s="168">
        <v>-303811</v>
      </c>
      <c r="IZ56" s="168">
        <v>-237360</v>
      </c>
      <c r="JA56" s="21"/>
      <c r="JB56" s="21"/>
      <c r="JC56" s="21"/>
      <c r="JD56" s="21"/>
      <c r="JE56" s="168">
        <v>4777236</v>
      </c>
      <c r="JF56" s="168">
        <v>4869029</v>
      </c>
      <c r="JG56" s="21"/>
      <c r="JH56" s="21"/>
      <c r="JI56" s="168">
        <v>30369532</v>
      </c>
      <c r="JJ56" s="168">
        <v>30211210</v>
      </c>
      <c r="JK56" s="168">
        <v>427125</v>
      </c>
      <c r="JL56" s="168">
        <v>323290</v>
      </c>
      <c r="JM56" s="168">
        <v>31146055</v>
      </c>
      <c r="JN56" s="168">
        <v>31804400</v>
      </c>
      <c r="JO56" s="168">
        <v>123314</v>
      </c>
      <c r="JP56" s="168">
        <v>85930</v>
      </c>
      <c r="JQ56" s="168">
        <v>880487</v>
      </c>
      <c r="JR56" s="168">
        <v>-1895088</v>
      </c>
      <c r="JS56" s="21"/>
      <c r="JT56" s="21"/>
      <c r="JU56" s="21"/>
      <c r="JV56" s="21"/>
      <c r="JW56" s="168">
        <v>31143483</v>
      </c>
      <c r="JX56" s="168">
        <v>31803089</v>
      </c>
      <c r="JY56" s="21"/>
      <c r="JZ56" s="21"/>
      <c r="KA56" s="21"/>
      <c r="KB56" s="21"/>
      <c r="KC56" s="21"/>
      <c r="KD56" s="21"/>
      <c r="KE56" s="21"/>
      <c r="KF56" s="21"/>
      <c r="KG56" s="21"/>
      <c r="KH56" s="21"/>
      <c r="KI56" s="168">
        <v>29793703</v>
      </c>
      <c r="KJ56" s="168">
        <v>30020516</v>
      </c>
      <c r="KK56" s="21"/>
      <c r="KL56" s="21"/>
      <c r="KM56" s="21"/>
      <c r="KN56" s="21"/>
      <c r="KO56" s="21"/>
      <c r="KP56" s="21"/>
      <c r="KQ56" s="168">
        <v>63154</v>
      </c>
      <c r="KR56" s="168">
        <v>114011</v>
      </c>
      <c r="KS56" s="21"/>
      <c r="KT56" s="21"/>
      <c r="KU56" s="168">
        <v>11163490</v>
      </c>
      <c r="KV56" s="168">
        <v>2717637</v>
      </c>
      <c r="KW56" s="21"/>
      <c r="KX56" s="21"/>
      <c r="KY56" s="21"/>
      <c r="KZ56" s="21"/>
      <c r="LA56" s="168">
        <v>1243372</v>
      </c>
      <c r="LB56" s="168">
        <v>1243372</v>
      </c>
      <c r="LC56" s="168">
        <v>2506</v>
      </c>
      <c r="LD56" s="168">
        <v>11146</v>
      </c>
      <c r="LE56" s="168">
        <v>2307</v>
      </c>
      <c r="LF56" s="168">
        <v>2359</v>
      </c>
      <c r="LG56" s="21"/>
      <c r="LH56" s="21"/>
      <c r="LI56" s="21"/>
      <c r="LJ56" s="21"/>
      <c r="LK56" s="21"/>
      <c r="LL56" s="21"/>
      <c r="LM56" s="21"/>
      <c r="LN56" s="21"/>
      <c r="LO56" s="21"/>
      <c r="LP56" s="21"/>
      <c r="LQ56" s="21"/>
      <c r="LR56" s="21"/>
      <c r="LS56" s="21"/>
      <c r="LT56" s="21"/>
      <c r="LU56" s="21"/>
      <c r="LV56" s="21"/>
      <c r="LW56" s="21"/>
      <c r="LX56" s="21"/>
      <c r="LY56" s="21"/>
      <c r="LZ56" s="21"/>
      <c r="MA56" s="21"/>
      <c r="MB56" s="21"/>
      <c r="MC56" s="168">
        <v>7233979</v>
      </c>
      <c r="MD56" s="168">
        <v>10641597</v>
      </c>
      <c r="ME56" s="21"/>
      <c r="MF56" s="21"/>
      <c r="MG56" s="21"/>
      <c r="MH56" s="21"/>
      <c r="MI56" s="21"/>
      <c r="MJ56" s="21"/>
      <c r="MK56" s="21"/>
      <c r="ML56" s="21"/>
      <c r="MM56" s="21"/>
      <c r="MN56" s="21"/>
      <c r="MO56" s="21"/>
      <c r="MP56" s="21"/>
      <c r="MQ56" s="21"/>
      <c r="MR56" s="21"/>
      <c r="MS56" s="21"/>
      <c r="MT56" s="21"/>
      <c r="MU56" s="21"/>
      <c r="MV56" s="168">
        <v>510958</v>
      </c>
      <c r="MW56" s="168">
        <v>124337</v>
      </c>
      <c r="MX56" s="168">
        <v>124337</v>
      </c>
      <c r="MY56" s="21"/>
      <c r="MZ56" s="21"/>
      <c r="NA56" s="21"/>
      <c r="NB56" s="21"/>
      <c r="NC56" s="168">
        <v>482968</v>
      </c>
      <c r="ND56" s="168">
        <v>872048</v>
      </c>
      <c r="NE56" s="21"/>
      <c r="NF56" s="21"/>
      <c r="NG56" s="168">
        <v>18288717</v>
      </c>
      <c r="NH56" s="168">
        <v>17957650</v>
      </c>
      <c r="NI56" s="21"/>
      <c r="NJ56" s="21"/>
      <c r="NK56" s="168">
        <v>4813</v>
      </c>
      <c r="NL56" s="168">
        <v>13505</v>
      </c>
      <c r="NM56" s="168">
        <v>14411331</v>
      </c>
      <c r="NN56" s="168">
        <v>17363096</v>
      </c>
      <c r="NO56" s="168">
        <v>33666532</v>
      </c>
      <c r="NP56" s="168">
        <v>36269615</v>
      </c>
      <c r="NQ56" s="168" t="s">
        <v>1050</v>
      </c>
      <c r="NR56" s="168" t="s">
        <v>1051</v>
      </c>
      <c r="NS56" s="168" t="s">
        <v>770</v>
      </c>
      <c r="NT56" s="168" t="s">
        <v>771</v>
      </c>
      <c r="NU56" s="168">
        <v>5601</v>
      </c>
      <c r="NV56" s="168" t="s">
        <v>2104</v>
      </c>
      <c r="NW56" s="168" t="s">
        <v>28</v>
      </c>
      <c r="NX56" s="168" t="s">
        <v>25</v>
      </c>
      <c r="NY56" s="169">
        <v>42916</v>
      </c>
      <c r="NZ56" s="169">
        <v>42551</v>
      </c>
      <c r="OA56" s="169">
        <v>43125</v>
      </c>
      <c r="OB56" s="168" t="s">
        <v>1052</v>
      </c>
      <c r="OC56" s="168">
        <v>12</v>
      </c>
      <c r="OD56" s="168" t="s">
        <v>2105</v>
      </c>
      <c r="OE56" s="168" t="s">
        <v>2441</v>
      </c>
      <c r="OF56" s="168" t="s">
        <v>2249</v>
      </c>
      <c r="OG56" s="168" t="s">
        <v>1859</v>
      </c>
      <c r="OH56" s="168" t="s">
        <v>1031</v>
      </c>
      <c r="OI56" s="168" t="s">
        <v>766</v>
      </c>
      <c r="OJ56" s="168" t="s">
        <v>3240</v>
      </c>
      <c r="OK56" s="168" t="s">
        <v>1049</v>
      </c>
    </row>
    <row r="57" spans="1:401" x14ac:dyDescent="0.2">
      <c r="A57" s="170" t="str">
        <f>Liste[[#This Row],[Siren]]</f>
        <v>533149688</v>
      </c>
      <c r="B57" s="198" t="str">
        <f>Liste[[#This Row],[Dénomination]]&amp;" - comptes "&amp;YEAR(Liste[[#This Row],[Date de cloture de l''exercice]])</f>
        <v>Amplitude Surgical - comptes 2017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168">
        <v>92491000</v>
      </c>
      <c r="EI57" s="168">
        <v>90427000</v>
      </c>
      <c r="EJ57" s="21"/>
      <c r="EK57" s="21"/>
      <c r="EL57" s="168">
        <v>159292000</v>
      </c>
      <c r="EM57" s="168">
        <v>144024000</v>
      </c>
      <c r="EN57" s="21"/>
      <c r="EO57" s="21"/>
      <c r="EP57" s="168">
        <v>111669000</v>
      </c>
      <c r="EQ57" s="168">
        <v>113241000</v>
      </c>
      <c r="ER57" s="21"/>
      <c r="ES57" s="21"/>
      <c r="ET57" s="168">
        <v>270961000</v>
      </c>
      <c r="EU57" s="168">
        <v>257265000</v>
      </c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168">
        <v>-12052000</v>
      </c>
      <c r="GN57" s="168">
        <v>219000</v>
      </c>
      <c r="GO57" s="21"/>
      <c r="GP57" s="21"/>
      <c r="GQ57" s="21"/>
      <c r="GR57" s="21"/>
      <c r="GS57" s="21"/>
      <c r="GT57" s="21"/>
      <c r="GU57" s="21"/>
      <c r="GV57" s="21"/>
      <c r="GW57" s="21"/>
      <c r="GX57" s="21"/>
      <c r="GY57" s="21"/>
      <c r="GZ57" s="21"/>
      <c r="HA57" s="21"/>
      <c r="HB57" s="21"/>
      <c r="HC57" s="21"/>
      <c r="HD57" s="21"/>
      <c r="HE57" s="21"/>
      <c r="HF57" s="21"/>
      <c r="HG57" s="21"/>
      <c r="HH57" s="21"/>
      <c r="HI57" s="21"/>
      <c r="HJ57" s="21"/>
      <c r="HK57" s="21"/>
      <c r="HL57" s="21"/>
      <c r="HM57" s="21"/>
      <c r="HN57" s="21"/>
      <c r="HO57" s="21"/>
      <c r="HP57" s="21"/>
      <c r="HQ57" s="21"/>
      <c r="HR57" s="21"/>
      <c r="HS57" s="21"/>
      <c r="HT57" s="21"/>
      <c r="HU57" s="21"/>
      <c r="HV57" s="21"/>
      <c r="HW57" s="21"/>
      <c r="HX57" s="21"/>
      <c r="HY57" s="21"/>
      <c r="HZ57" s="21"/>
      <c r="IA57" s="21"/>
      <c r="IB57" s="21"/>
      <c r="IC57" s="21"/>
      <c r="ID57" s="21"/>
      <c r="IE57" s="168">
        <v>-1153000</v>
      </c>
      <c r="IF57" s="168">
        <v>-931000</v>
      </c>
      <c r="IG57" s="21"/>
      <c r="IH57" s="21"/>
      <c r="II57" s="21"/>
      <c r="IJ57" s="21"/>
      <c r="IK57" s="21"/>
      <c r="IL57" s="21"/>
      <c r="IM57" s="21"/>
      <c r="IN57" s="21"/>
      <c r="IO57" s="21"/>
      <c r="IP57" s="21"/>
      <c r="IQ57" s="21"/>
      <c r="IR57" s="21"/>
      <c r="IS57" s="21"/>
      <c r="IT57" s="21"/>
      <c r="IU57" s="21"/>
      <c r="IV57" s="21"/>
      <c r="IW57" s="21"/>
      <c r="IX57" s="21"/>
      <c r="IY57" s="168">
        <v>-8510</v>
      </c>
      <c r="IZ57" s="168">
        <v>5352</v>
      </c>
      <c r="JA57" s="21"/>
      <c r="JB57" s="21"/>
      <c r="JC57" s="21"/>
      <c r="JD57" s="21"/>
      <c r="JE57" s="21"/>
      <c r="JF57" s="21"/>
      <c r="JG57" s="21"/>
      <c r="JH57" s="21"/>
      <c r="JI57" s="21"/>
      <c r="JJ57" s="21"/>
      <c r="JK57" s="168">
        <v>-9264000</v>
      </c>
      <c r="JL57" s="168">
        <v>-6817000</v>
      </c>
      <c r="JM57" s="21"/>
      <c r="JN57" s="21"/>
      <c r="JO57" s="168">
        <v>754000</v>
      </c>
      <c r="JP57" s="168">
        <v>12168000</v>
      </c>
      <c r="JQ57" s="21"/>
      <c r="JR57" s="21"/>
      <c r="JS57" s="21"/>
      <c r="JT57" s="21"/>
      <c r="JU57" s="21"/>
      <c r="JV57" s="21"/>
      <c r="JW57" s="168">
        <v>93356000</v>
      </c>
      <c r="JX57" s="168">
        <v>80788000</v>
      </c>
      <c r="JY57" s="21"/>
      <c r="JZ57" s="21"/>
      <c r="KA57" s="21"/>
      <c r="KB57" s="21"/>
      <c r="KC57" s="21"/>
      <c r="KD57" s="21"/>
      <c r="KE57" s="21"/>
      <c r="KF57" s="21"/>
      <c r="KG57" s="21"/>
      <c r="KH57" s="21"/>
      <c r="KI57" s="21"/>
      <c r="KJ57" s="21"/>
      <c r="KK57" s="21"/>
      <c r="KL57" s="21"/>
      <c r="KM57" s="21"/>
      <c r="KN57" s="21"/>
      <c r="KO57" s="21"/>
      <c r="KP57" s="21"/>
      <c r="KQ57" s="21"/>
      <c r="KR57" s="21"/>
      <c r="KS57" s="21"/>
      <c r="KT57" s="21"/>
      <c r="KU57" s="168">
        <v>-31389000</v>
      </c>
      <c r="KV57" s="168">
        <v>-28050000</v>
      </c>
      <c r="KW57" s="21"/>
      <c r="KX57" s="21"/>
      <c r="KY57" s="21"/>
      <c r="KZ57" s="21"/>
      <c r="LA57" s="168">
        <v>469000</v>
      </c>
      <c r="LB57" s="168">
        <v>469000</v>
      </c>
      <c r="LC57" s="21"/>
      <c r="LD57" s="21"/>
      <c r="LE57" s="21"/>
      <c r="LF57" s="21"/>
      <c r="LG57" s="21"/>
      <c r="LH57" s="21"/>
      <c r="LI57" s="21"/>
      <c r="LJ57" s="21"/>
      <c r="LK57" s="21"/>
      <c r="LL57" s="21"/>
      <c r="LM57" s="21"/>
      <c r="LN57" s="21"/>
      <c r="LO57" s="21"/>
      <c r="LP57" s="21"/>
      <c r="LQ57" s="21"/>
      <c r="LR57" s="21"/>
      <c r="LS57" s="21"/>
      <c r="LT57" s="21"/>
      <c r="LU57" s="21"/>
      <c r="LV57" s="21"/>
      <c r="LW57" s="21"/>
      <c r="LX57" s="21"/>
      <c r="LY57" s="21"/>
      <c r="LZ57" s="21"/>
      <c r="MA57" s="21"/>
      <c r="MB57" s="21"/>
      <c r="MC57" s="168">
        <v>117262000</v>
      </c>
      <c r="MD57" s="168">
        <v>75803000</v>
      </c>
      <c r="ME57" s="21"/>
      <c r="MF57" s="21"/>
      <c r="MG57" s="21"/>
      <c r="MH57" s="21"/>
      <c r="MI57" s="168">
        <v>146686000</v>
      </c>
      <c r="MJ57" s="168">
        <v>145507000</v>
      </c>
      <c r="MK57" s="21"/>
      <c r="ML57" s="21"/>
      <c r="MM57" s="21"/>
      <c r="MN57" s="21"/>
      <c r="MO57" s="21"/>
      <c r="MP57" s="21"/>
      <c r="MQ57" s="21"/>
      <c r="MR57" s="21"/>
      <c r="MS57" s="21"/>
      <c r="MT57" s="21"/>
      <c r="MU57" s="21"/>
      <c r="MV57" s="21"/>
      <c r="MW57" s="21"/>
      <c r="MX57" s="21"/>
      <c r="MY57" s="21"/>
      <c r="MZ57" s="21"/>
      <c r="NA57" s="21"/>
      <c r="NB57" s="21"/>
      <c r="NC57" s="168">
        <v>-12052000</v>
      </c>
      <c r="ND57" s="168">
        <v>219000</v>
      </c>
      <c r="NE57" s="21"/>
      <c r="NF57" s="21"/>
      <c r="NG57" s="168">
        <v>103136000</v>
      </c>
      <c r="NH57" s="168">
        <v>118120000</v>
      </c>
      <c r="NI57" s="21"/>
      <c r="NJ57" s="21"/>
      <c r="NK57" s="21"/>
      <c r="NL57" s="21"/>
      <c r="NM57" s="168">
        <v>167825000</v>
      </c>
      <c r="NN57" s="168">
        <v>139146000</v>
      </c>
      <c r="NO57" s="168">
        <v>270961000</v>
      </c>
      <c r="NP57" s="168">
        <v>257265000</v>
      </c>
      <c r="NQ57" s="168" t="s">
        <v>1170</v>
      </c>
      <c r="NR57" s="168" t="s">
        <v>769</v>
      </c>
      <c r="NS57" s="168" t="s">
        <v>770</v>
      </c>
      <c r="NT57" s="168" t="s">
        <v>771</v>
      </c>
      <c r="NU57" s="168">
        <v>2602</v>
      </c>
      <c r="NV57" s="168" t="s">
        <v>2104</v>
      </c>
      <c r="NW57" s="168" t="s">
        <v>28</v>
      </c>
      <c r="NX57" s="168" t="s">
        <v>25</v>
      </c>
      <c r="NY57" s="169">
        <v>42916</v>
      </c>
      <c r="NZ57" s="169">
        <v>42551</v>
      </c>
      <c r="OA57" s="169">
        <v>43124</v>
      </c>
      <c r="OB57" s="168" t="s">
        <v>1307</v>
      </c>
      <c r="OC57" s="168">
        <v>12</v>
      </c>
      <c r="OD57" s="168" t="s">
        <v>2105</v>
      </c>
      <c r="OE57" s="168" t="s">
        <v>3369</v>
      </c>
      <c r="OF57" s="168" t="s">
        <v>2452</v>
      </c>
      <c r="OG57" s="168" t="s">
        <v>1964</v>
      </c>
      <c r="OH57" s="168" t="s">
        <v>902</v>
      </c>
      <c r="OI57" s="168" t="s">
        <v>766</v>
      </c>
      <c r="OJ57" s="168" t="s">
        <v>3240</v>
      </c>
      <c r="OK57" s="168" t="s">
        <v>767</v>
      </c>
    </row>
    <row r="58" spans="1:401" x14ac:dyDescent="0.2">
      <c r="A58" s="170" t="str">
        <f>Liste[[#This Row],[Siren]]</f>
        <v>378906739</v>
      </c>
      <c r="B58" s="198" t="str">
        <f>Liste[[#This Row],[Dénomination]]&amp;" - comptes "&amp;YEAR(Liste[[#This Row],[Date de cloture de l''exercice]])</f>
        <v>IDM - comptes 2017</v>
      </c>
      <c r="C58" s="168">
        <v>355149</v>
      </c>
      <c r="D58" s="21"/>
      <c r="E58" s="21"/>
      <c r="F58" s="168">
        <v>8159611</v>
      </c>
      <c r="G58" s="168">
        <v>10897439</v>
      </c>
      <c r="H58" s="168">
        <v>8159611</v>
      </c>
      <c r="I58" s="168">
        <v>5415990</v>
      </c>
      <c r="J58" s="168">
        <v>5358573</v>
      </c>
      <c r="K58" s="168">
        <v>5918222</v>
      </c>
      <c r="L58" s="168">
        <v>10774563</v>
      </c>
      <c r="M58" s="168">
        <v>52500</v>
      </c>
      <c r="N58" s="168">
        <v>508870</v>
      </c>
      <c r="O58" s="168">
        <v>390955</v>
      </c>
      <c r="P58" s="168">
        <v>561370</v>
      </c>
      <c r="Q58" s="21"/>
      <c r="R58" s="21"/>
      <c r="S58" s="21"/>
      <c r="T58" s="21"/>
      <c r="U58" s="21"/>
      <c r="V58" s="168">
        <v>3457</v>
      </c>
      <c r="W58" s="168">
        <v>3457</v>
      </c>
      <c r="X58" s="168">
        <v>3457</v>
      </c>
      <c r="Y58" s="21"/>
      <c r="Z58" s="21"/>
      <c r="AA58" s="21"/>
      <c r="AB58" s="21"/>
      <c r="AC58" s="21"/>
      <c r="AD58" s="21"/>
      <c r="AE58" s="168">
        <v>87633</v>
      </c>
      <c r="AF58" s="21"/>
      <c r="AG58" s="21"/>
      <c r="AH58" s="21"/>
      <c r="AI58" s="21"/>
      <c r="AJ58" s="21"/>
      <c r="AK58" s="21"/>
      <c r="AL58" s="168">
        <v>137407</v>
      </c>
      <c r="AM58" s="168">
        <v>117219</v>
      </c>
      <c r="AN58" s="168">
        <v>137407</v>
      </c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168">
        <v>783655</v>
      </c>
      <c r="BA58" s="168">
        <v>803811</v>
      </c>
      <c r="BB58" s="168">
        <v>783655</v>
      </c>
      <c r="BC58" s="168">
        <v>608602</v>
      </c>
      <c r="BD58" s="168">
        <v>11422723</v>
      </c>
      <c r="BE58" s="168">
        <v>14533782</v>
      </c>
      <c r="BF58" s="168">
        <v>12031324</v>
      </c>
      <c r="BG58" s="168">
        <v>167650</v>
      </c>
      <c r="BH58" s="168">
        <v>34198</v>
      </c>
      <c r="BI58" s="168">
        <v>17012</v>
      </c>
      <c r="BJ58" s="168">
        <v>201848</v>
      </c>
      <c r="BK58" s="168">
        <v>2361916</v>
      </c>
      <c r="BL58" s="168">
        <v>4614429</v>
      </c>
      <c r="BM58" s="168">
        <v>5918268</v>
      </c>
      <c r="BN58" s="168">
        <v>6976345</v>
      </c>
      <c r="BO58" s="21"/>
      <c r="BP58" s="21"/>
      <c r="BQ58" s="21"/>
      <c r="BR58" s="21"/>
      <c r="BS58" s="21"/>
      <c r="BT58" s="21"/>
      <c r="BU58" s="21"/>
      <c r="BV58" s="21"/>
      <c r="BW58" s="21"/>
      <c r="BX58" s="168">
        <v>1579033</v>
      </c>
      <c r="BY58" s="168">
        <v>1860236</v>
      </c>
      <c r="BZ58" s="168">
        <v>1579033</v>
      </c>
      <c r="CA58" s="21"/>
      <c r="CB58" s="21"/>
      <c r="CC58" s="21"/>
      <c r="CD58" s="21"/>
      <c r="CE58" s="21"/>
      <c r="CF58" s="21"/>
      <c r="CG58" s="21"/>
      <c r="CH58" s="21"/>
      <c r="CI58" s="168">
        <v>34516</v>
      </c>
      <c r="CJ58" s="168">
        <v>27116</v>
      </c>
      <c r="CK58" s="168">
        <v>34516</v>
      </c>
      <c r="CL58" s="21"/>
      <c r="CM58" s="168">
        <v>31662</v>
      </c>
      <c r="CN58" s="168">
        <v>29192</v>
      </c>
      <c r="CO58" s="168">
        <v>31662</v>
      </c>
      <c r="CP58" s="21"/>
      <c r="CQ58" s="168">
        <v>4046947</v>
      </c>
      <c r="CR58" s="168">
        <v>6708041</v>
      </c>
      <c r="CS58" s="168">
        <v>4046947</v>
      </c>
      <c r="CT58" s="21"/>
      <c r="CU58" s="21"/>
      <c r="CV58" s="21"/>
      <c r="CW58" s="21"/>
      <c r="CX58" s="168">
        <v>49800</v>
      </c>
      <c r="CY58" s="21"/>
      <c r="CZ58" s="21"/>
      <c r="DA58" s="168">
        <v>49800</v>
      </c>
      <c r="DB58" s="21"/>
      <c r="DC58" s="21"/>
      <c r="DD58" s="168">
        <v>54346</v>
      </c>
      <c r="DE58" s="21"/>
      <c r="DF58" s="168">
        <v>846990</v>
      </c>
      <c r="DG58" s="168">
        <v>108170</v>
      </c>
      <c r="DH58" s="168">
        <v>201992</v>
      </c>
      <c r="DI58" s="168">
        <v>955160</v>
      </c>
      <c r="DJ58" s="168">
        <v>551345</v>
      </c>
      <c r="DK58" s="168">
        <v>33102908</v>
      </c>
      <c r="DL58" s="168">
        <v>56035125</v>
      </c>
      <c r="DM58" s="168">
        <v>33654253</v>
      </c>
      <c r="DN58" s="21"/>
      <c r="DO58" s="21"/>
      <c r="DP58" s="21"/>
      <c r="DQ58" s="21"/>
      <c r="DR58" s="21"/>
      <c r="DS58" s="21"/>
      <c r="DT58" s="21"/>
      <c r="DU58" s="21"/>
      <c r="DV58" s="21"/>
      <c r="DW58" s="168">
        <v>707677</v>
      </c>
      <c r="DX58" s="168">
        <v>763907</v>
      </c>
      <c r="DY58" s="168">
        <v>707677</v>
      </c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168">
        <v>8904499</v>
      </c>
      <c r="EL58" s="168">
        <v>15449908</v>
      </c>
      <c r="EM58" s="168">
        <v>20132077</v>
      </c>
      <c r="EN58" s="168">
        <v>24354407</v>
      </c>
      <c r="EO58" s="168">
        <v>1159946</v>
      </c>
      <c r="EP58" s="168">
        <v>55251515</v>
      </c>
      <c r="EQ58" s="168">
        <v>84303920</v>
      </c>
      <c r="ER58" s="168">
        <v>56411461</v>
      </c>
      <c r="ES58" s="168">
        <v>10064445</v>
      </c>
      <c r="ET58" s="168">
        <v>70701423</v>
      </c>
      <c r="EU58" s="168">
        <v>104435997</v>
      </c>
      <c r="EV58" s="168">
        <v>80765868</v>
      </c>
      <c r="EW58" s="168">
        <v>9654</v>
      </c>
      <c r="EX58" s="168">
        <v>67588</v>
      </c>
      <c r="EY58" s="168">
        <v>68243</v>
      </c>
      <c r="EZ58" s="168">
        <v>77241</v>
      </c>
      <c r="FA58" s="21"/>
      <c r="FB58" s="21"/>
      <c r="FC58" s="21"/>
      <c r="FD58" s="21"/>
      <c r="FE58" s="21"/>
      <c r="FF58" s="21"/>
      <c r="FG58" s="21"/>
      <c r="FH58" s="21"/>
      <c r="FI58" s="168">
        <v>-1408266</v>
      </c>
      <c r="FJ58" s="168">
        <v>-3246049</v>
      </c>
      <c r="FK58" s="21"/>
      <c r="FL58" s="21"/>
      <c r="FM58" s="168">
        <v>229291</v>
      </c>
      <c r="FN58" s="168">
        <v>968490</v>
      </c>
      <c r="FO58" s="168">
        <v>5607295</v>
      </c>
      <c r="FP58" s="168">
        <v>7330230</v>
      </c>
      <c r="FQ58" s="21"/>
      <c r="FR58" s="21"/>
      <c r="FS58" s="168">
        <v>701271</v>
      </c>
      <c r="FT58" s="168">
        <v>227492</v>
      </c>
      <c r="FU58" s="21"/>
      <c r="FV58" s="21"/>
      <c r="FW58" s="168">
        <v>24069</v>
      </c>
      <c r="FX58" s="168">
        <v>134653</v>
      </c>
      <c r="FY58" s="21"/>
      <c r="FZ58" s="21"/>
      <c r="GA58" s="21"/>
      <c r="GB58" s="21"/>
      <c r="GC58" s="168">
        <v>107509</v>
      </c>
      <c r="GD58" s="168">
        <v>117130</v>
      </c>
      <c r="GE58" s="168">
        <v>5019904</v>
      </c>
      <c r="GF58" s="168">
        <v>5143945</v>
      </c>
      <c r="GG58" s="21"/>
      <c r="GH58" s="21"/>
      <c r="GI58" s="21"/>
      <c r="GJ58" s="21"/>
      <c r="GK58" s="168">
        <v>2178</v>
      </c>
      <c r="GL58" s="168">
        <v>19087</v>
      </c>
      <c r="GM58" s="168">
        <v>-5426062</v>
      </c>
      <c r="GN58" s="168">
        <v>-6250469</v>
      </c>
      <c r="GO58" s="21"/>
      <c r="GP58" s="21"/>
      <c r="GQ58" s="21"/>
      <c r="GR58" s="21"/>
      <c r="GS58" s="21"/>
      <c r="GT58" s="21"/>
      <c r="GU58" s="168">
        <v>6537857</v>
      </c>
      <c r="GV58" s="168">
        <v>8526211</v>
      </c>
      <c r="GW58" s="168">
        <v>5129591</v>
      </c>
      <c r="GX58" s="168">
        <v>5280162</v>
      </c>
      <c r="GY58" s="168">
        <v>140733453</v>
      </c>
      <c r="GZ58" s="168">
        <v>364065254</v>
      </c>
      <c r="HA58" s="168">
        <v>1762099</v>
      </c>
      <c r="HB58" s="168">
        <v>4681094</v>
      </c>
      <c r="HC58" s="168">
        <v>10140737</v>
      </c>
      <c r="HD58" s="168">
        <v>21709172</v>
      </c>
      <c r="HE58" s="168">
        <v>92317</v>
      </c>
      <c r="HF58" s="168">
        <v>375424</v>
      </c>
      <c r="HG58" s="168">
        <v>17491</v>
      </c>
      <c r="HH58" s="168">
        <v>55856</v>
      </c>
      <c r="HI58" s="168">
        <v>118308</v>
      </c>
      <c r="HJ58" s="168">
        <v>201708</v>
      </c>
      <c r="HK58" s="21"/>
      <c r="HL58" s="21"/>
      <c r="HM58" s="21"/>
      <c r="HN58" s="21"/>
      <c r="HO58" s="168">
        <v>3710277</v>
      </c>
      <c r="HP58" s="168">
        <v>8885206</v>
      </c>
      <c r="HQ58" s="21"/>
      <c r="HR58" s="21"/>
      <c r="HS58" s="21"/>
      <c r="HT58" s="21"/>
      <c r="HU58" s="168">
        <v>1460546</v>
      </c>
      <c r="HV58" s="168">
        <v>2933414</v>
      </c>
      <c r="HW58" s="168">
        <v>419500</v>
      </c>
      <c r="HX58" s="21"/>
      <c r="HY58" s="21"/>
      <c r="HZ58" s="21"/>
      <c r="IA58" s="168">
        <v>623975</v>
      </c>
      <c r="IB58" s="168">
        <v>215886</v>
      </c>
      <c r="IC58" s="168">
        <v>52500</v>
      </c>
      <c r="ID58" s="21"/>
      <c r="IE58" s="168">
        <v>1207341</v>
      </c>
      <c r="IF58" s="168">
        <v>2533976</v>
      </c>
      <c r="IG58" s="168">
        <v>1380105</v>
      </c>
      <c r="IH58" s="168">
        <v>2533802</v>
      </c>
      <c r="II58" s="21"/>
      <c r="IJ58" s="21"/>
      <c r="IK58" s="21"/>
      <c r="IL58" s="21"/>
      <c r="IM58" s="168">
        <v>17986</v>
      </c>
      <c r="IN58" s="168">
        <v>-7624</v>
      </c>
      <c r="IO58" s="168">
        <v>29444</v>
      </c>
      <c r="IP58" s="168">
        <v>49562</v>
      </c>
      <c r="IQ58" s="168">
        <v>39200</v>
      </c>
      <c r="IR58" s="168">
        <v>574</v>
      </c>
      <c r="IS58" s="21"/>
      <c r="IT58" s="21"/>
      <c r="IU58" s="168">
        <v>-3993727</v>
      </c>
      <c r="IV58" s="168">
        <v>-2869767</v>
      </c>
      <c r="IW58" s="168">
        <v>-2647256</v>
      </c>
      <c r="IX58" s="168">
        <v>-441957</v>
      </c>
      <c r="IY58" s="168">
        <v>-1346471</v>
      </c>
      <c r="IZ58" s="168">
        <v>-2427810</v>
      </c>
      <c r="JA58" s="168">
        <v>1369756</v>
      </c>
      <c r="JB58" s="168">
        <v>3340401</v>
      </c>
      <c r="JC58" s="21"/>
      <c r="JD58" s="21"/>
      <c r="JE58" s="168">
        <v>9466266</v>
      </c>
      <c r="JF58" s="168">
        <v>21519347</v>
      </c>
      <c r="JG58" s="168">
        <v>5500</v>
      </c>
      <c r="JH58" s="168">
        <v>1064</v>
      </c>
      <c r="JI58" s="168">
        <v>182530634</v>
      </c>
      <c r="JJ58" s="168">
        <v>413115314</v>
      </c>
      <c r="JK58" s="168">
        <v>1432605</v>
      </c>
      <c r="JL58" s="168">
        <v>2533802</v>
      </c>
      <c r="JM58" s="168">
        <v>179883378</v>
      </c>
      <c r="JN58" s="168">
        <v>412673357</v>
      </c>
      <c r="JO58" s="168">
        <v>86134</v>
      </c>
      <c r="JP58" s="168">
        <v>105991</v>
      </c>
      <c r="JQ58" s="168">
        <v>12914080</v>
      </c>
      <c r="JR58" s="168">
        <v>-13800027</v>
      </c>
      <c r="JS58" s="168">
        <v>43</v>
      </c>
      <c r="JT58" s="168">
        <v>-3432</v>
      </c>
      <c r="JU58" s="168">
        <v>356755</v>
      </c>
      <c r="JV58" s="168">
        <v>178015072</v>
      </c>
      <c r="JW58" s="168">
        <v>178371827</v>
      </c>
      <c r="JX58" s="168">
        <v>409137807</v>
      </c>
      <c r="JY58" s="21"/>
      <c r="JZ58" s="168">
        <v>-299</v>
      </c>
      <c r="KA58" s="168">
        <v>-299</v>
      </c>
      <c r="KB58" s="168">
        <v>-15322</v>
      </c>
      <c r="KC58" s="21"/>
      <c r="KD58" s="168">
        <v>10564724</v>
      </c>
      <c r="KE58" s="168">
        <v>10564724</v>
      </c>
      <c r="KF58" s="168">
        <v>24160067</v>
      </c>
      <c r="KG58" s="168">
        <v>356755</v>
      </c>
      <c r="KH58" s="168">
        <v>167450648</v>
      </c>
      <c r="KI58" s="168">
        <v>167807403</v>
      </c>
      <c r="KJ58" s="168">
        <v>384993062</v>
      </c>
      <c r="KK58" s="21"/>
      <c r="KL58" s="21"/>
      <c r="KM58" s="21"/>
      <c r="KN58" s="21"/>
      <c r="KO58" s="21"/>
      <c r="KP58" s="21"/>
      <c r="KQ58" s="168">
        <v>594160</v>
      </c>
      <c r="KR58" s="168">
        <v>503087</v>
      </c>
      <c r="KS58" s="21"/>
      <c r="KT58" s="21"/>
      <c r="KU58" s="168">
        <v>11014978</v>
      </c>
      <c r="KV58" s="168">
        <v>5652714</v>
      </c>
      <c r="KW58" s="21"/>
      <c r="KX58" s="21"/>
      <c r="KY58" s="168">
        <v>1824353</v>
      </c>
      <c r="KZ58" s="168">
        <v>2474694</v>
      </c>
      <c r="LA58" s="168">
        <v>1671000</v>
      </c>
      <c r="LB58" s="168">
        <v>1671000</v>
      </c>
      <c r="LC58" s="168">
        <v>91395</v>
      </c>
      <c r="LD58" s="168">
        <v>26862</v>
      </c>
      <c r="LE58" s="168">
        <v>23793</v>
      </c>
      <c r="LF58" s="168">
        <v>64532</v>
      </c>
      <c r="LG58" s="21"/>
      <c r="LH58" s="21"/>
      <c r="LI58" s="168">
        <v>3385434</v>
      </c>
      <c r="LJ58" s="168">
        <v>4555926</v>
      </c>
      <c r="LK58" s="168">
        <v>38376450</v>
      </c>
      <c r="LL58" s="168">
        <v>55940417</v>
      </c>
      <c r="LM58" s="168">
        <v>950</v>
      </c>
      <c r="LN58" s="168">
        <v>4751</v>
      </c>
      <c r="LO58" s="21"/>
      <c r="LP58" s="21"/>
      <c r="LQ58" s="21"/>
      <c r="LR58" s="21"/>
      <c r="LS58" s="21"/>
      <c r="LT58" s="21"/>
      <c r="LU58" s="21"/>
      <c r="LV58" s="21"/>
      <c r="LW58" s="21"/>
      <c r="LX58" s="21"/>
      <c r="LY58" s="21"/>
      <c r="LZ58" s="21"/>
      <c r="MA58" s="168">
        <v>24376665</v>
      </c>
      <c r="MB58" s="168">
        <v>34600211</v>
      </c>
      <c r="MC58" s="168">
        <v>195500</v>
      </c>
      <c r="MD58" s="168">
        <v>63000</v>
      </c>
      <c r="ME58" s="21"/>
      <c r="MF58" s="21"/>
      <c r="MG58" s="21"/>
      <c r="MH58" s="21"/>
      <c r="MI58" s="168">
        <v>1049940</v>
      </c>
      <c r="MJ58" s="168">
        <v>1049940</v>
      </c>
      <c r="MK58" s="21"/>
      <c r="ML58" s="21"/>
      <c r="MM58" s="168">
        <v>332341</v>
      </c>
      <c r="MN58" s="168">
        <v>324655</v>
      </c>
      <c r="MO58" s="168">
        <v>1312069</v>
      </c>
      <c r="MP58" s="168">
        <v>208296</v>
      </c>
      <c r="MQ58" s="21"/>
      <c r="MR58" s="168">
        <v>55190</v>
      </c>
      <c r="MS58" s="21"/>
      <c r="MT58" s="21"/>
      <c r="MU58" s="168">
        <v>-8271545</v>
      </c>
      <c r="MV58" s="168">
        <v>3341194</v>
      </c>
      <c r="MW58" s="168">
        <v>150000</v>
      </c>
      <c r="MX58" s="168">
        <v>149999</v>
      </c>
      <c r="MY58" s="21"/>
      <c r="MZ58" s="21"/>
      <c r="NA58" s="21"/>
      <c r="NB58" s="21"/>
      <c r="NC58" s="168">
        <v>-5426062</v>
      </c>
      <c r="ND58" s="168">
        <v>-6250469</v>
      </c>
      <c r="NE58" s="21"/>
      <c r="NF58" s="21"/>
      <c r="NG58" s="168">
        <v>188312</v>
      </c>
      <c r="NH58" s="168">
        <v>5614378</v>
      </c>
      <c r="NI58" s="21"/>
      <c r="NJ58" s="21"/>
      <c r="NK58" s="168">
        <v>115188</v>
      </c>
      <c r="NL58" s="168">
        <v>91394</v>
      </c>
      <c r="NM58" s="168">
        <v>69085854</v>
      </c>
      <c r="NN58" s="168">
        <v>98466740</v>
      </c>
      <c r="NO58" s="168">
        <v>70701423</v>
      </c>
      <c r="NP58" s="168">
        <v>104435997</v>
      </c>
      <c r="NQ58" s="168" t="s">
        <v>1005</v>
      </c>
      <c r="NR58" s="168" t="s">
        <v>1224</v>
      </c>
      <c r="NS58" s="168" t="s">
        <v>770</v>
      </c>
      <c r="NT58" s="168" t="s">
        <v>771</v>
      </c>
      <c r="NU58" s="168">
        <v>1303</v>
      </c>
      <c r="NV58" s="168" t="s">
        <v>2105</v>
      </c>
      <c r="NW58" s="168" t="s">
        <v>28</v>
      </c>
      <c r="NX58" s="168" t="s">
        <v>25</v>
      </c>
      <c r="NY58" s="169">
        <v>42916</v>
      </c>
      <c r="NZ58" s="169">
        <v>42551</v>
      </c>
      <c r="OA58" s="169">
        <v>43112</v>
      </c>
      <c r="OB58" s="168" t="s">
        <v>3372</v>
      </c>
      <c r="OC58" s="168">
        <v>12</v>
      </c>
      <c r="OD58" s="168" t="s">
        <v>2152</v>
      </c>
      <c r="OE58" s="168" t="s">
        <v>2346</v>
      </c>
      <c r="OF58" s="168" t="s">
        <v>3373</v>
      </c>
      <c r="OG58" s="168" t="s">
        <v>3374</v>
      </c>
      <c r="OH58" s="168" t="s">
        <v>967</v>
      </c>
      <c r="OI58" s="168" t="s">
        <v>766</v>
      </c>
      <c r="OJ58" s="168" t="s">
        <v>835</v>
      </c>
      <c r="OK58" s="168" t="s">
        <v>1223</v>
      </c>
    </row>
    <row r="59" spans="1:401" x14ac:dyDescent="0.2">
      <c r="A59" s="170" t="str">
        <f>Liste[[#This Row],[Siren]]</f>
        <v>542042486</v>
      </c>
      <c r="B59" s="198" t="str">
        <f>Liste[[#This Row],[Dénomination]]&amp;" - comptes "&amp;YEAR(Liste[[#This Row],[Date de cloture de l''exercice]])</f>
        <v>BAYARD PRESSE - comptes 2017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168">
        <v>2285000</v>
      </c>
      <c r="O59" s="168">
        <v>2833000</v>
      </c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168">
        <v>45179000</v>
      </c>
      <c r="BE59" s="168">
        <v>44450000</v>
      </c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168">
        <v>39536000</v>
      </c>
      <c r="BY59" s="168">
        <v>12966000</v>
      </c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168">
        <v>87545000</v>
      </c>
      <c r="EM59" s="168">
        <v>94761000</v>
      </c>
      <c r="EN59" s="21"/>
      <c r="EO59" s="21"/>
      <c r="EP59" s="168">
        <v>167764000</v>
      </c>
      <c r="EQ59" s="168">
        <v>163930000</v>
      </c>
      <c r="ER59" s="21"/>
      <c r="ES59" s="21"/>
      <c r="ET59" s="168">
        <v>255309000</v>
      </c>
      <c r="EU59" s="168">
        <v>258691000</v>
      </c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168">
        <v>37074000</v>
      </c>
      <c r="FG59" s="168">
        <v>63029000</v>
      </c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168">
        <v>-1158000</v>
      </c>
      <c r="FX59" s="168">
        <v>-1626000</v>
      </c>
      <c r="FY59" s="168">
        <v>2000</v>
      </c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168">
        <v>2027000</v>
      </c>
      <c r="GN59" s="168">
        <v>3059000</v>
      </c>
      <c r="GO59" s="168">
        <v>1471000</v>
      </c>
      <c r="GP59" s="168">
        <v>2778000</v>
      </c>
      <c r="GQ59" s="168">
        <v>555000</v>
      </c>
      <c r="GR59" s="168">
        <v>280000</v>
      </c>
      <c r="GS59" s="168">
        <v>2029000</v>
      </c>
      <c r="GT59" s="168">
        <v>3059000</v>
      </c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  <c r="IR59" s="21"/>
      <c r="IS59" s="21"/>
      <c r="IT59" s="21"/>
      <c r="IU59" s="168">
        <v>11067000</v>
      </c>
      <c r="IV59" s="168">
        <v>9025000</v>
      </c>
      <c r="IW59" s="168">
        <v>11099000</v>
      </c>
      <c r="IX59" s="168">
        <v>9328000</v>
      </c>
      <c r="IY59" s="168">
        <v>-32000</v>
      </c>
      <c r="IZ59" s="168">
        <v>-303000</v>
      </c>
      <c r="JA59" s="21"/>
      <c r="JB59" s="21"/>
      <c r="JC59" s="21"/>
      <c r="JD59" s="21"/>
      <c r="JE59" s="21"/>
      <c r="JF59" s="21"/>
      <c r="JG59" s="21"/>
      <c r="JH59" s="21"/>
      <c r="JI59" s="168">
        <v>350814000</v>
      </c>
      <c r="JJ59" s="168">
        <v>356915000</v>
      </c>
      <c r="JK59" s="21"/>
      <c r="JL59" s="21"/>
      <c r="JM59" s="168">
        <v>361914000</v>
      </c>
      <c r="JN59" s="168">
        <v>366244000</v>
      </c>
      <c r="JO59" s="21"/>
      <c r="JP59" s="21"/>
      <c r="JQ59" s="21"/>
      <c r="JR59" s="21"/>
      <c r="JS59" s="21"/>
      <c r="JT59" s="21"/>
      <c r="JU59" s="21"/>
      <c r="JV59" s="21"/>
      <c r="JW59" s="168">
        <v>349680000</v>
      </c>
      <c r="JX59" s="168">
        <v>354375000</v>
      </c>
      <c r="JY59" s="21"/>
      <c r="JZ59" s="21"/>
      <c r="KA59" s="21"/>
      <c r="KB59" s="21"/>
      <c r="KC59" s="21"/>
      <c r="KD59" s="21"/>
      <c r="KE59" s="21"/>
      <c r="KF59" s="21"/>
      <c r="KG59" s="21"/>
      <c r="KH59" s="21"/>
      <c r="KI59" s="21"/>
      <c r="KJ59" s="21"/>
      <c r="KK59" s="21"/>
      <c r="KL59" s="21"/>
      <c r="KM59" s="21"/>
      <c r="KN59" s="21"/>
      <c r="KO59" s="21"/>
      <c r="KP59" s="21"/>
      <c r="KQ59" s="21"/>
      <c r="KR59" s="21"/>
      <c r="KS59" s="21"/>
      <c r="KT59" s="21"/>
      <c r="KU59" s="21"/>
      <c r="KV59" s="21"/>
      <c r="KW59" s="21"/>
      <c r="KX59" s="21"/>
      <c r="KY59" s="21"/>
      <c r="KZ59" s="21"/>
      <c r="LA59" s="168">
        <v>16500000</v>
      </c>
      <c r="LB59" s="168">
        <v>16500000</v>
      </c>
      <c r="LC59" s="21"/>
      <c r="LD59" s="21"/>
      <c r="LE59" s="21"/>
      <c r="LF59" s="21"/>
      <c r="LG59" s="21"/>
      <c r="LH59" s="21"/>
      <c r="LI59" s="21"/>
      <c r="LJ59" s="21"/>
      <c r="LK59" s="168">
        <v>38959000</v>
      </c>
      <c r="LL59" s="168">
        <v>38044000</v>
      </c>
      <c r="LM59" s="21"/>
      <c r="LN59" s="21"/>
      <c r="LO59" s="21"/>
      <c r="LP59" s="21"/>
      <c r="LQ59" s="21"/>
      <c r="LR59" s="21"/>
      <c r="LS59" s="21"/>
      <c r="LT59" s="21"/>
      <c r="LU59" s="21"/>
      <c r="LV59" s="21"/>
      <c r="LW59" s="21"/>
      <c r="LX59" s="21"/>
      <c r="LY59" s="21"/>
      <c r="LZ59" s="21"/>
      <c r="MA59" s="21"/>
      <c r="MB59" s="21"/>
      <c r="MC59" s="21"/>
      <c r="MD59" s="21"/>
      <c r="ME59" s="21"/>
      <c r="MF59" s="21"/>
      <c r="MG59" s="21"/>
      <c r="MH59" s="21"/>
      <c r="MI59" s="21"/>
      <c r="MJ59" s="21"/>
      <c r="MK59" s="21"/>
      <c r="ML59" s="21"/>
      <c r="MM59" s="21"/>
      <c r="MN59" s="21"/>
      <c r="MO59" s="21"/>
      <c r="MP59" s="21"/>
      <c r="MQ59" s="21"/>
      <c r="MR59" s="21"/>
      <c r="MS59" s="21"/>
      <c r="MT59" s="21"/>
      <c r="MU59" s="21"/>
      <c r="MV59" s="21"/>
      <c r="MW59" s="21"/>
      <c r="MX59" s="21"/>
      <c r="MY59" s="21"/>
      <c r="MZ59" s="21"/>
      <c r="NA59" s="21"/>
      <c r="NB59" s="21"/>
      <c r="NC59" s="21"/>
      <c r="ND59" s="21"/>
      <c r="NE59" s="21"/>
      <c r="NF59" s="21"/>
      <c r="NG59" s="168">
        <v>48060000</v>
      </c>
      <c r="NH59" s="168">
        <v>46255000</v>
      </c>
      <c r="NI59" s="21"/>
      <c r="NJ59" s="21"/>
      <c r="NK59" s="168">
        <v>-71000</v>
      </c>
      <c r="NL59" s="21"/>
      <c r="NM59" s="168">
        <v>110756000</v>
      </c>
      <c r="NN59" s="168">
        <v>114235000</v>
      </c>
      <c r="NO59" s="168">
        <v>255309000</v>
      </c>
      <c r="NP59" s="168">
        <v>258691000</v>
      </c>
      <c r="NQ59" s="168" t="s">
        <v>1028</v>
      </c>
      <c r="NR59" s="168" t="s">
        <v>1058</v>
      </c>
      <c r="NS59" s="168" t="s">
        <v>770</v>
      </c>
      <c r="NT59" s="168" t="s">
        <v>771</v>
      </c>
      <c r="NU59" s="168">
        <v>9201</v>
      </c>
      <c r="NV59" s="168" t="s">
        <v>2104</v>
      </c>
      <c r="NW59" s="168" t="s">
        <v>28</v>
      </c>
      <c r="NX59" s="168" t="s">
        <v>25</v>
      </c>
      <c r="NY59" s="169">
        <v>42916</v>
      </c>
      <c r="NZ59" s="169">
        <v>42551</v>
      </c>
      <c r="OA59" s="169">
        <v>43124</v>
      </c>
      <c r="OB59" s="168" t="s">
        <v>1059</v>
      </c>
      <c r="OC59" s="168">
        <v>12</v>
      </c>
      <c r="OD59" s="168" t="s">
        <v>2105</v>
      </c>
      <c r="OE59" s="168" t="s">
        <v>2388</v>
      </c>
      <c r="OF59" s="168" t="s">
        <v>2256</v>
      </c>
      <c r="OG59" s="168" t="s">
        <v>1863</v>
      </c>
      <c r="OH59" s="168" t="s">
        <v>777</v>
      </c>
      <c r="OI59" s="168" t="s">
        <v>766</v>
      </c>
      <c r="OJ59" s="168" t="s">
        <v>3240</v>
      </c>
      <c r="OK59" s="168" t="s">
        <v>3277</v>
      </c>
    </row>
    <row r="60" spans="1:401" x14ac:dyDescent="0.2">
      <c r="A60" s="170" t="str">
        <f>Liste[[#This Row],[Siren]]</f>
        <v>329764625</v>
      </c>
      <c r="B60" s="198" t="str">
        <f>Liste[[#This Row],[Dénomination]]&amp;" - comptes "&amp;YEAR(Liste[[#This Row],[Date de cloture de l''exercice]])</f>
        <v>CLARANOVA - comptes 2017</v>
      </c>
      <c r="C60" s="21"/>
      <c r="D60" s="21"/>
      <c r="E60" s="21"/>
      <c r="F60" s="168">
        <v>1794000</v>
      </c>
      <c r="G60" s="168">
        <v>3892000</v>
      </c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168">
        <v>4342000</v>
      </c>
      <c r="BE60" s="168">
        <v>4696000</v>
      </c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168">
        <v>1952000</v>
      </c>
      <c r="EM60" s="168">
        <v>3044000</v>
      </c>
      <c r="EN60" s="21"/>
      <c r="EO60" s="21"/>
      <c r="EP60" s="168">
        <v>28095000</v>
      </c>
      <c r="EQ60" s="168">
        <v>25457000</v>
      </c>
      <c r="ER60" s="21"/>
      <c r="ES60" s="21"/>
      <c r="ET60" s="168">
        <v>30047000</v>
      </c>
      <c r="EU60" s="168">
        <v>28502000</v>
      </c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168">
        <v>-11352000</v>
      </c>
      <c r="GN60" s="168">
        <v>-28588000</v>
      </c>
      <c r="GO60" s="21"/>
      <c r="GP60" s="21"/>
      <c r="GQ60" s="21"/>
      <c r="GR60" s="21"/>
      <c r="GS60" s="168">
        <v>-11352000</v>
      </c>
      <c r="GT60" s="168">
        <v>-28588000</v>
      </c>
      <c r="GU60" s="21"/>
      <c r="GV60" s="21"/>
      <c r="GW60" s="21"/>
      <c r="GX60" s="21"/>
      <c r="GY60" s="21"/>
      <c r="GZ60" s="21"/>
      <c r="HA60" s="168">
        <v>42452000</v>
      </c>
      <c r="HB60" s="168">
        <v>44667000</v>
      </c>
      <c r="HC60" s="168">
        <v>58132000</v>
      </c>
      <c r="HD60" s="168">
        <v>49357000</v>
      </c>
      <c r="HE60" s="21"/>
      <c r="HF60" s="21"/>
      <c r="HG60" s="21"/>
      <c r="HH60" s="21"/>
      <c r="HI60" s="21"/>
      <c r="HJ60" s="21"/>
      <c r="HK60" s="21"/>
      <c r="HL60" s="21"/>
      <c r="HM60" s="21"/>
      <c r="HN60" s="21"/>
      <c r="HO60" s="21"/>
      <c r="HP60" s="21"/>
      <c r="HQ60" s="21"/>
      <c r="HR60" s="21"/>
      <c r="HS60" s="21"/>
      <c r="HT60" s="21"/>
      <c r="HU60" s="21"/>
      <c r="HV60" s="21"/>
      <c r="HW60" s="21"/>
      <c r="HX60" s="21"/>
      <c r="HY60" s="21"/>
      <c r="HZ60" s="21"/>
      <c r="IA60" s="21"/>
      <c r="IB60" s="21"/>
      <c r="IC60" s="21"/>
      <c r="ID60" s="21"/>
      <c r="IE60" s="168">
        <v>168000</v>
      </c>
      <c r="IF60" s="168">
        <v>177000</v>
      </c>
      <c r="IG60" s="21"/>
      <c r="IH60" s="21"/>
      <c r="II60" s="21"/>
      <c r="IJ60" s="21"/>
      <c r="IK60" s="21"/>
      <c r="IL60" s="21"/>
      <c r="IM60" s="21"/>
      <c r="IN60" s="21"/>
      <c r="IO60" s="21"/>
      <c r="IP60" s="21"/>
      <c r="IQ60" s="21"/>
      <c r="IR60" s="21"/>
      <c r="IS60" s="21"/>
      <c r="IT60" s="21"/>
      <c r="IU60" s="168">
        <v>-10554000</v>
      </c>
      <c r="IV60" s="168">
        <v>-16110000</v>
      </c>
      <c r="IW60" s="168">
        <v>-10554000</v>
      </c>
      <c r="IX60" s="168">
        <v>-16110000</v>
      </c>
      <c r="IY60" s="168">
        <v>-871000</v>
      </c>
      <c r="IZ60" s="168">
        <v>-1699000</v>
      </c>
      <c r="JA60" s="21"/>
      <c r="JB60" s="21"/>
      <c r="JC60" s="21"/>
      <c r="JD60" s="21"/>
      <c r="JE60" s="21"/>
      <c r="JF60" s="21"/>
      <c r="JG60" s="21"/>
      <c r="JH60" s="21"/>
      <c r="JI60" s="21"/>
      <c r="JJ60" s="21"/>
      <c r="JK60" s="21"/>
      <c r="JL60" s="21"/>
      <c r="JM60" s="168">
        <v>130219000</v>
      </c>
      <c r="JN60" s="168">
        <v>117394000</v>
      </c>
      <c r="JO60" s="21"/>
      <c r="JP60" s="21"/>
      <c r="JQ60" s="21"/>
      <c r="JR60" s="21"/>
      <c r="JS60" s="21"/>
      <c r="JT60" s="21"/>
      <c r="JU60" s="21"/>
      <c r="JV60" s="21"/>
      <c r="JW60" s="168">
        <v>130219000</v>
      </c>
      <c r="JX60" s="168">
        <v>117394000</v>
      </c>
      <c r="JY60" s="21"/>
      <c r="JZ60" s="21"/>
      <c r="KA60" s="21"/>
      <c r="KB60" s="21"/>
      <c r="KC60" s="21"/>
      <c r="KD60" s="21"/>
      <c r="KE60" s="21"/>
      <c r="KF60" s="21"/>
      <c r="KG60" s="21"/>
      <c r="KH60" s="21"/>
      <c r="KI60" s="21"/>
      <c r="KJ60" s="21"/>
      <c r="KK60" s="21"/>
      <c r="KL60" s="21"/>
      <c r="KM60" s="21"/>
      <c r="KN60" s="21"/>
      <c r="KO60" s="21"/>
      <c r="KP60" s="21"/>
      <c r="KQ60" s="21"/>
      <c r="KR60" s="21"/>
      <c r="KS60" s="21"/>
      <c r="KT60" s="21"/>
      <c r="KU60" s="21"/>
      <c r="KV60" s="21"/>
      <c r="KW60" s="21"/>
      <c r="KX60" s="21"/>
      <c r="KY60" s="21"/>
      <c r="KZ60" s="21"/>
      <c r="LA60" s="168">
        <v>37532000</v>
      </c>
      <c r="LB60" s="168">
        <v>37532000</v>
      </c>
      <c r="LC60" s="21"/>
      <c r="LD60" s="21"/>
      <c r="LE60" s="21"/>
      <c r="LF60" s="21"/>
      <c r="LG60" s="21"/>
      <c r="LH60" s="21"/>
      <c r="LI60" s="21"/>
      <c r="LJ60" s="21"/>
      <c r="LK60" s="168">
        <v>21834000</v>
      </c>
      <c r="LL60" s="168">
        <v>19565000</v>
      </c>
      <c r="LM60" s="21"/>
      <c r="LN60" s="21"/>
      <c r="LO60" s="21"/>
      <c r="LP60" s="21"/>
      <c r="LQ60" s="21"/>
      <c r="LR60" s="21"/>
      <c r="LS60" s="21"/>
      <c r="LT60" s="21"/>
      <c r="LU60" s="21"/>
      <c r="LV60" s="21"/>
      <c r="LW60" s="21"/>
      <c r="LX60" s="21"/>
      <c r="LY60" s="21"/>
      <c r="LZ60" s="21"/>
      <c r="MA60" s="21"/>
      <c r="MB60" s="21"/>
      <c r="MC60" s="21"/>
      <c r="MD60" s="21"/>
      <c r="ME60" s="21"/>
      <c r="MF60" s="21"/>
      <c r="MG60" s="21"/>
      <c r="MH60" s="21"/>
      <c r="MI60" s="21"/>
      <c r="MJ60" s="21"/>
      <c r="MK60" s="21"/>
      <c r="ML60" s="21"/>
      <c r="MM60" s="21"/>
      <c r="MN60" s="21"/>
      <c r="MO60" s="21"/>
      <c r="MP60" s="21"/>
      <c r="MQ60" s="21"/>
      <c r="MR60" s="21"/>
      <c r="MS60" s="21"/>
      <c r="MT60" s="21"/>
      <c r="MU60" s="21"/>
      <c r="MV60" s="21"/>
      <c r="MW60" s="21"/>
      <c r="MX60" s="21"/>
      <c r="MY60" s="21"/>
      <c r="MZ60" s="21"/>
      <c r="NA60" s="21"/>
      <c r="NB60" s="21"/>
      <c r="NC60" s="168">
        <v>-11047000</v>
      </c>
      <c r="ND60" s="168">
        <v>-28588000</v>
      </c>
      <c r="NE60" s="21"/>
      <c r="NF60" s="21"/>
      <c r="NG60" s="168">
        <v>1285000</v>
      </c>
      <c r="NH60" s="168">
        <v>2093000</v>
      </c>
      <c r="NI60" s="21"/>
      <c r="NJ60" s="21"/>
      <c r="NK60" s="21"/>
      <c r="NL60" s="21"/>
      <c r="NM60" s="168">
        <v>28762000</v>
      </c>
      <c r="NN60" s="168">
        <v>26409000</v>
      </c>
      <c r="NO60" s="168">
        <v>30047000</v>
      </c>
      <c r="NP60" s="168">
        <v>28502000</v>
      </c>
      <c r="NQ60" s="168" t="s">
        <v>1064</v>
      </c>
      <c r="NR60" s="168" t="s">
        <v>936</v>
      </c>
      <c r="NS60" s="168" t="s">
        <v>770</v>
      </c>
      <c r="NT60" s="168" t="s">
        <v>771</v>
      </c>
      <c r="NU60" s="168">
        <v>9201</v>
      </c>
      <c r="NV60" s="168" t="s">
        <v>2104</v>
      </c>
      <c r="NW60" s="168" t="s">
        <v>28</v>
      </c>
      <c r="NX60" s="168" t="s">
        <v>25</v>
      </c>
      <c r="NY60" s="169">
        <v>42916</v>
      </c>
      <c r="NZ60" s="169">
        <v>42551</v>
      </c>
      <c r="OA60" s="169">
        <v>43118</v>
      </c>
      <c r="OB60" s="168" t="s">
        <v>3377</v>
      </c>
      <c r="OC60" s="168">
        <v>12</v>
      </c>
      <c r="OD60" s="168" t="s">
        <v>2105</v>
      </c>
      <c r="OE60" s="168" t="s">
        <v>2518</v>
      </c>
      <c r="OF60" s="168" t="s">
        <v>3378</v>
      </c>
      <c r="OG60" s="168" t="s">
        <v>3379</v>
      </c>
      <c r="OH60" s="168" t="s">
        <v>777</v>
      </c>
      <c r="OI60" s="168" t="s">
        <v>766</v>
      </c>
      <c r="OJ60" s="168" t="s">
        <v>3240</v>
      </c>
      <c r="OK60" s="168" t="s">
        <v>935</v>
      </c>
    </row>
    <row r="61" spans="1:401" x14ac:dyDescent="0.2">
      <c r="A61" s="170" t="str">
        <f>Liste[[#This Row],[Siren]]</f>
        <v>383069085</v>
      </c>
      <c r="B61" s="198" t="str">
        <f>Liste[[#This Row],[Dénomination]]&amp;" - comptes "&amp;YEAR(Liste[[#This Row],[Date de cloture de l''exercice]])</f>
        <v>ELIARD-SPCP - comptes 2017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168">
        <v>4607986</v>
      </c>
      <c r="BE61" s="168">
        <v>5990410</v>
      </c>
      <c r="BF61" s="168">
        <v>4607986</v>
      </c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168">
        <v>1629798</v>
      </c>
      <c r="BY61" s="168">
        <v>712219</v>
      </c>
      <c r="BZ61" s="168">
        <v>1629798</v>
      </c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168">
        <v>9395264</v>
      </c>
      <c r="EM61" s="168">
        <v>7327516</v>
      </c>
      <c r="EN61" s="168">
        <v>9395264</v>
      </c>
      <c r="EO61" s="21"/>
      <c r="EP61" s="168">
        <v>23606708</v>
      </c>
      <c r="EQ61" s="168">
        <v>520597421</v>
      </c>
      <c r="ER61" s="168">
        <v>23606708</v>
      </c>
      <c r="ES61" s="21"/>
      <c r="ET61" s="168">
        <v>33001972</v>
      </c>
      <c r="EU61" s="168">
        <v>27924937</v>
      </c>
      <c r="EV61" s="168">
        <v>33001972</v>
      </c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168">
        <v>32383</v>
      </c>
      <c r="FJ61" s="168">
        <v>1130507</v>
      </c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168">
        <v>232467</v>
      </c>
      <c r="FX61" s="168">
        <v>625127</v>
      </c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168">
        <v>820352</v>
      </c>
      <c r="GN61" s="168">
        <v>1595255</v>
      </c>
      <c r="GO61" s="168">
        <v>820352</v>
      </c>
      <c r="GP61" s="168">
        <v>1595255</v>
      </c>
      <c r="GQ61" s="21"/>
      <c r="GR61" s="21"/>
      <c r="GS61" s="168">
        <v>820352</v>
      </c>
      <c r="GT61" s="168">
        <v>1595255</v>
      </c>
      <c r="GU61" s="21"/>
      <c r="GV61" s="21"/>
      <c r="GW61" s="21"/>
      <c r="GX61" s="21"/>
      <c r="GY61" s="21"/>
      <c r="GZ61" s="21"/>
      <c r="HA61" s="21"/>
      <c r="HB61" s="21"/>
      <c r="HC61" s="21"/>
      <c r="HD61" s="21"/>
      <c r="HE61" s="168">
        <v>8907</v>
      </c>
      <c r="HF61" s="168">
        <v>81395</v>
      </c>
      <c r="HG61" s="21"/>
      <c r="HH61" s="21"/>
      <c r="HI61" s="168">
        <v>673625</v>
      </c>
      <c r="HJ61" s="168">
        <v>176134</v>
      </c>
      <c r="HK61" s="21"/>
      <c r="HL61" s="21"/>
      <c r="HM61" s="21"/>
      <c r="HN61" s="21"/>
      <c r="HO61" s="168">
        <v>4126375</v>
      </c>
      <c r="HP61" s="168">
        <v>4125989</v>
      </c>
      <c r="HQ61" s="21"/>
      <c r="HR61" s="21"/>
      <c r="HS61" s="21"/>
      <c r="HT61" s="21"/>
      <c r="HU61" s="21"/>
      <c r="HV61" s="21"/>
      <c r="HW61" s="21"/>
      <c r="HX61" s="21"/>
      <c r="HY61" s="21"/>
      <c r="HZ61" s="21"/>
      <c r="IA61" s="21"/>
      <c r="IB61" s="21"/>
      <c r="IC61" s="21"/>
      <c r="ID61" s="21"/>
      <c r="IE61" s="168">
        <v>533128</v>
      </c>
      <c r="IF61" s="168">
        <v>756369</v>
      </c>
      <c r="IG61" s="21"/>
      <c r="IH61" s="21"/>
      <c r="II61" s="21"/>
      <c r="IJ61" s="21"/>
      <c r="IK61" s="21"/>
      <c r="IL61" s="21"/>
      <c r="IM61" s="168">
        <v>374527</v>
      </c>
      <c r="IN61" s="168">
        <v>170213</v>
      </c>
      <c r="IO61" s="21"/>
      <c r="IP61" s="21"/>
      <c r="IQ61" s="21"/>
      <c r="IR61" s="21"/>
      <c r="IS61" s="21"/>
      <c r="IT61" s="21"/>
      <c r="IU61" s="168">
        <v>1020436</v>
      </c>
      <c r="IV61" s="168">
        <v>1089875</v>
      </c>
      <c r="IW61" s="168">
        <v>1190292</v>
      </c>
      <c r="IX61" s="168">
        <v>1259035</v>
      </c>
      <c r="IY61" s="168">
        <v>-169856</v>
      </c>
      <c r="IZ61" s="168">
        <v>-169160</v>
      </c>
      <c r="JA61" s="21"/>
      <c r="JB61" s="21"/>
      <c r="JC61" s="21"/>
      <c r="JD61" s="21"/>
      <c r="JE61" s="21"/>
      <c r="JF61" s="21"/>
      <c r="JG61" s="21"/>
      <c r="JH61" s="21"/>
      <c r="JI61" s="168">
        <v>55799440</v>
      </c>
      <c r="JJ61" s="168">
        <v>69872098</v>
      </c>
      <c r="JK61" s="168">
        <v>167717</v>
      </c>
      <c r="JL61" s="168">
        <v>200170</v>
      </c>
      <c r="JM61" s="168">
        <v>56989733</v>
      </c>
      <c r="JN61" s="168">
        <v>71131133</v>
      </c>
      <c r="JO61" s="168">
        <v>-2139</v>
      </c>
      <c r="JP61" s="168">
        <v>31010</v>
      </c>
      <c r="JQ61" s="21"/>
      <c r="JR61" s="21"/>
      <c r="JS61" s="21"/>
      <c r="JT61" s="21"/>
      <c r="JU61" s="21"/>
      <c r="JV61" s="21"/>
      <c r="JW61" s="168">
        <v>55941581</v>
      </c>
      <c r="JX61" s="168">
        <v>70784786</v>
      </c>
      <c r="JY61" s="21"/>
      <c r="JZ61" s="21"/>
      <c r="KA61" s="21"/>
      <c r="KB61" s="21"/>
      <c r="KC61" s="21"/>
      <c r="KD61" s="21"/>
      <c r="KE61" s="21"/>
      <c r="KF61" s="21"/>
      <c r="KG61" s="21"/>
      <c r="KH61" s="21"/>
      <c r="KI61" s="21"/>
      <c r="KJ61" s="21"/>
      <c r="KK61" s="21"/>
      <c r="KL61" s="21"/>
      <c r="KM61" s="21"/>
      <c r="KN61" s="21"/>
      <c r="KO61" s="21"/>
      <c r="KP61" s="21"/>
      <c r="KQ61" s="168">
        <v>3663649</v>
      </c>
      <c r="KR61" s="168">
        <v>3985827</v>
      </c>
      <c r="KS61" s="21"/>
      <c r="KT61" s="21"/>
      <c r="KU61" s="21"/>
      <c r="KV61" s="21"/>
      <c r="KW61" s="21"/>
      <c r="KX61" s="21"/>
      <c r="KY61" s="21"/>
      <c r="KZ61" s="21"/>
      <c r="LA61" s="168">
        <v>2707760</v>
      </c>
      <c r="LB61" s="168">
        <v>2707760</v>
      </c>
      <c r="LC61" s="21"/>
      <c r="LD61" s="21"/>
      <c r="LE61" s="21"/>
      <c r="LF61" s="21"/>
      <c r="LG61" s="21"/>
      <c r="LH61" s="21"/>
      <c r="LI61" s="21"/>
      <c r="LJ61" s="21"/>
      <c r="LK61" s="168">
        <v>8727988</v>
      </c>
      <c r="LL61" s="168">
        <v>7000701</v>
      </c>
      <c r="LM61" s="21"/>
      <c r="LN61" s="21"/>
      <c r="LO61" s="21"/>
      <c r="LP61" s="21"/>
      <c r="LQ61" s="21"/>
      <c r="LR61" s="21"/>
      <c r="LS61" s="21"/>
      <c r="LT61" s="21"/>
      <c r="LU61" s="21"/>
      <c r="LV61" s="21"/>
      <c r="LW61" s="21"/>
      <c r="LX61" s="21"/>
      <c r="LY61" s="21"/>
      <c r="LZ61" s="21"/>
      <c r="MA61" s="21"/>
      <c r="MB61" s="21"/>
      <c r="MC61" s="168">
        <v>8677385</v>
      </c>
      <c r="MD61" s="168">
        <v>5390080</v>
      </c>
      <c r="ME61" s="21"/>
      <c r="MF61" s="21"/>
      <c r="MG61" s="21"/>
      <c r="MH61" s="21"/>
      <c r="MI61" s="21"/>
      <c r="MJ61" s="21"/>
      <c r="MK61" s="21"/>
      <c r="ML61" s="21"/>
      <c r="MM61" s="21"/>
      <c r="MN61" s="21"/>
      <c r="MO61" s="21"/>
      <c r="MP61" s="21"/>
      <c r="MQ61" s="21"/>
      <c r="MR61" s="21"/>
      <c r="MS61" s="21"/>
      <c r="MT61" s="21"/>
      <c r="MU61" s="21"/>
      <c r="MV61" s="21"/>
      <c r="MW61" s="21"/>
      <c r="MX61" s="21"/>
      <c r="MY61" s="21"/>
      <c r="MZ61" s="21"/>
      <c r="NA61" s="21"/>
      <c r="NB61" s="21"/>
      <c r="NC61" s="168">
        <v>820352</v>
      </c>
      <c r="ND61" s="168">
        <v>1595255</v>
      </c>
      <c r="NE61" s="21"/>
      <c r="NF61" s="21"/>
      <c r="NG61" s="21"/>
      <c r="NH61" s="21"/>
      <c r="NI61" s="21"/>
      <c r="NJ61" s="21"/>
      <c r="NK61" s="21"/>
      <c r="NL61" s="21"/>
      <c r="NM61" s="168">
        <v>21069022</v>
      </c>
      <c r="NN61" s="168">
        <v>16376609</v>
      </c>
      <c r="NO61" s="168">
        <v>33001972</v>
      </c>
      <c r="NP61" s="168">
        <v>27924937</v>
      </c>
      <c r="NQ61" s="168" t="s">
        <v>1250</v>
      </c>
      <c r="NR61" s="168" t="s">
        <v>1251</v>
      </c>
      <c r="NS61" s="168" t="s">
        <v>770</v>
      </c>
      <c r="NT61" s="168" t="s">
        <v>771</v>
      </c>
      <c r="NU61" s="168">
        <v>5601</v>
      </c>
      <c r="NV61" s="168" t="s">
        <v>2104</v>
      </c>
      <c r="NW61" s="168" t="s">
        <v>28</v>
      </c>
      <c r="NX61" s="168" t="s">
        <v>25</v>
      </c>
      <c r="NY61" s="169">
        <v>42916</v>
      </c>
      <c r="NZ61" s="169">
        <v>42551</v>
      </c>
      <c r="OA61" s="169">
        <v>43080</v>
      </c>
      <c r="OB61" s="168" t="s">
        <v>1252</v>
      </c>
      <c r="OC61" s="168">
        <v>12</v>
      </c>
      <c r="OD61" s="168" t="s">
        <v>2105</v>
      </c>
      <c r="OE61" s="168" t="s">
        <v>2398</v>
      </c>
      <c r="OF61" s="168" t="s">
        <v>2399</v>
      </c>
      <c r="OG61" s="168" t="s">
        <v>1935</v>
      </c>
      <c r="OH61" s="168" t="s">
        <v>1031</v>
      </c>
      <c r="OI61" s="168" t="s">
        <v>766</v>
      </c>
      <c r="OJ61" s="168" t="s">
        <v>3240</v>
      </c>
      <c r="OK61" s="168" t="s">
        <v>1249</v>
      </c>
    </row>
    <row r="62" spans="1:401" x14ac:dyDescent="0.2">
      <c r="A62" s="170" t="str">
        <f>Liste[[#This Row],[Siren]]</f>
        <v>808362685</v>
      </c>
      <c r="B62" s="198" t="str">
        <f>Liste[[#This Row],[Dénomination]]&amp;" - comptes "&amp;YEAR(Liste[[#This Row],[Date de cloture de l''exercice]])</f>
        <v>PLASMA INVEST - comptes 2017</v>
      </c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168">
        <v>73322</v>
      </c>
      <c r="S62" s="168">
        <v>95163</v>
      </c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168">
        <v>58405</v>
      </c>
      <c r="BE62" s="168">
        <v>21912</v>
      </c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168">
        <v>677946</v>
      </c>
      <c r="BY62" s="168">
        <v>1075731</v>
      </c>
      <c r="BZ62" s="21"/>
      <c r="CA62" s="21"/>
      <c r="CB62" s="21"/>
      <c r="CC62" s="21"/>
      <c r="CD62" s="21"/>
      <c r="CE62" s="21"/>
      <c r="CF62" s="168">
        <v>349297</v>
      </c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168">
        <v>476423</v>
      </c>
      <c r="EM62" s="168">
        <v>829767</v>
      </c>
      <c r="EN62" s="21"/>
      <c r="EO62" s="21"/>
      <c r="EP62" s="168">
        <v>1198420</v>
      </c>
      <c r="EQ62" s="168">
        <v>2215782</v>
      </c>
      <c r="ER62" s="21"/>
      <c r="ES62" s="21"/>
      <c r="ET62" s="168">
        <v>1674844</v>
      </c>
      <c r="EU62" s="168">
        <v>3045549</v>
      </c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168">
        <v>-2160</v>
      </c>
      <c r="FJ62" s="168">
        <v>804</v>
      </c>
      <c r="FK62" s="21"/>
      <c r="FL62" s="21"/>
      <c r="FM62" s="21"/>
      <c r="FN62" s="21"/>
      <c r="FO62" s="21"/>
      <c r="FP62" s="21"/>
      <c r="FQ62" s="168">
        <v>-855124</v>
      </c>
      <c r="FR62" s="168">
        <v>-98624</v>
      </c>
      <c r="FS62" s="21"/>
      <c r="FT62" s="21"/>
      <c r="FU62" s="21"/>
      <c r="FV62" s="21"/>
      <c r="FW62" s="168">
        <v>3810</v>
      </c>
      <c r="FX62" s="168">
        <v>101258</v>
      </c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168">
        <v>-1859645</v>
      </c>
      <c r="GN62" s="168">
        <v>-786784</v>
      </c>
      <c r="GO62" s="168">
        <v>-1004521</v>
      </c>
      <c r="GP62" s="168">
        <v>-688160</v>
      </c>
      <c r="GQ62" s="21"/>
      <c r="GR62" s="21"/>
      <c r="GS62" s="21"/>
      <c r="GT62" s="21"/>
      <c r="GU62" s="168">
        <v>2160</v>
      </c>
      <c r="GV62" s="168">
        <v>29</v>
      </c>
      <c r="GW62" s="21"/>
      <c r="GX62" s="168">
        <v>833</v>
      </c>
      <c r="GY62" s="21"/>
      <c r="GZ62" s="21"/>
      <c r="HA62" s="21"/>
      <c r="HB62" s="21"/>
      <c r="HC62" s="21"/>
      <c r="HD62" s="21"/>
      <c r="HE62" s="168">
        <v>100</v>
      </c>
      <c r="HF62" s="168">
        <v>16</v>
      </c>
      <c r="HG62" s="21"/>
      <c r="HH62" s="21"/>
      <c r="HI62" s="168">
        <v>313683</v>
      </c>
      <c r="HJ62" s="168">
        <v>-19519</v>
      </c>
      <c r="HK62" s="21"/>
      <c r="HL62" s="21"/>
      <c r="HM62" s="21"/>
      <c r="HN62" s="21"/>
      <c r="HO62" s="21"/>
      <c r="HP62" s="21"/>
      <c r="HQ62" s="21"/>
      <c r="HR62" s="21"/>
      <c r="HS62" s="21"/>
      <c r="HT62" s="21"/>
      <c r="HU62" s="21"/>
      <c r="HV62" s="21"/>
      <c r="HW62" s="21"/>
      <c r="HX62" s="21"/>
      <c r="HY62" s="21"/>
      <c r="HZ62" s="21"/>
      <c r="IA62" s="21"/>
      <c r="IB62" s="21"/>
      <c r="IC62" s="21"/>
      <c r="ID62" s="21"/>
      <c r="IE62" s="168">
        <v>14950</v>
      </c>
      <c r="IF62" s="168">
        <v>11739</v>
      </c>
      <c r="IG62" s="21"/>
      <c r="IH62" s="21"/>
      <c r="II62" s="21"/>
      <c r="IJ62" s="21"/>
      <c r="IK62" s="21"/>
      <c r="IL62" s="21"/>
      <c r="IM62" s="21"/>
      <c r="IN62" s="21"/>
      <c r="IO62" s="21"/>
      <c r="IP62" s="21"/>
      <c r="IQ62" s="21"/>
      <c r="IR62" s="21"/>
      <c r="IS62" s="21"/>
      <c r="IT62" s="21"/>
      <c r="IU62" s="168">
        <v>-1006171</v>
      </c>
      <c r="IV62" s="168">
        <v>-790222</v>
      </c>
      <c r="IW62" s="168">
        <v>-980930</v>
      </c>
      <c r="IX62" s="168">
        <v>-767099</v>
      </c>
      <c r="IY62" s="168">
        <v>-25241</v>
      </c>
      <c r="IZ62" s="168">
        <v>-23123</v>
      </c>
      <c r="JA62" s="21"/>
      <c r="JB62" s="21"/>
      <c r="JC62" s="21"/>
      <c r="JD62" s="21"/>
      <c r="JE62" s="168">
        <v>652190</v>
      </c>
      <c r="JF62" s="168">
        <v>404317</v>
      </c>
      <c r="JG62" s="21"/>
      <c r="JH62" s="21"/>
      <c r="JI62" s="168">
        <v>1456016</v>
      </c>
      <c r="JJ62" s="168">
        <v>1300301</v>
      </c>
      <c r="JK62" s="168">
        <v>28295</v>
      </c>
      <c r="JL62" s="168">
        <v>28393</v>
      </c>
      <c r="JM62" s="168">
        <v>475086</v>
      </c>
      <c r="JN62" s="168">
        <v>533202</v>
      </c>
      <c r="JO62" s="168">
        <v>3054</v>
      </c>
      <c r="JP62" s="168">
        <v>5270</v>
      </c>
      <c r="JQ62" s="21"/>
      <c r="JR62" s="21"/>
      <c r="JS62" s="21"/>
      <c r="JT62" s="21"/>
      <c r="JU62" s="21"/>
      <c r="JV62" s="21"/>
      <c r="JW62" s="168">
        <v>161403</v>
      </c>
      <c r="JX62" s="168">
        <v>552721</v>
      </c>
      <c r="JY62" s="21"/>
      <c r="JZ62" s="21"/>
      <c r="KA62" s="21"/>
      <c r="KB62" s="21"/>
      <c r="KC62" s="21"/>
      <c r="KD62" s="21"/>
      <c r="KE62" s="21"/>
      <c r="KF62" s="21"/>
      <c r="KG62" s="21"/>
      <c r="KH62" s="21"/>
      <c r="KI62" s="21"/>
      <c r="KJ62" s="21"/>
      <c r="KK62" s="21"/>
      <c r="KL62" s="21"/>
      <c r="KM62" s="21"/>
      <c r="KN62" s="21"/>
      <c r="KO62" s="21"/>
      <c r="KP62" s="21"/>
      <c r="KQ62" s="21"/>
      <c r="KR62" s="21"/>
      <c r="KS62" s="21"/>
      <c r="KT62" s="21"/>
      <c r="KU62" s="21"/>
      <c r="KV62" s="21"/>
      <c r="KW62" s="21"/>
      <c r="KX62" s="21"/>
      <c r="KY62" s="21"/>
      <c r="KZ62" s="21"/>
      <c r="LA62" s="168">
        <v>3950000</v>
      </c>
      <c r="LB62" s="168">
        <v>1455000</v>
      </c>
      <c r="LC62" s="21"/>
      <c r="LD62" s="21"/>
      <c r="LE62" s="21"/>
      <c r="LF62" s="21"/>
      <c r="LG62" s="21"/>
      <c r="LH62" s="21"/>
      <c r="LI62" s="21"/>
      <c r="LJ62" s="21"/>
      <c r="LK62" s="168">
        <v>36452</v>
      </c>
      <c r="LL62" s="168">
        <v>96455</v>
      </c>
      <c r="LM62" s="21"/>
      <c r="LN62" s="21"/>
      <c r="LO62" s="21"/>
      <c r="LP62" s="21"/>
      <c r="LQ62" s="21"/>
      <c r="LR62" s="21"/>
      <c r="LS62" s="21"/>
      <c r="LT62" s="21"/>
      <c r="LU62" s="21"/>
      <c r="LV62" s="21"/>
      <c r="LW62" s="21"/>
      <c r="LX62" s="21"/>
      <c r="LY62" s="21"/>
      <c r="LZ62" s="21"/>
      <c r="MA62" s="21"/>
      <c r="MB62" s="21"/>
      <c r="MC62" s="168">
        <v>121711</v>
      </c>
      <c r="MD62" s="168">
        <v>152075</v>
      </c>
      <c r="ME62" s="21"/>
      <c r="MF62" s="21"/>
      <c r="MG62" s="21"/>
      <c r="MH62" s="21"/>
      <c r="MI62" s="21"/>
      <c r="MJ62" s="21"/>
      <c r="MK62" s="21"/>
      <c r="ML62" s="21"/>
      <c r="MM62" s="21"/>
      <c r="MN62" s="21"/>
      <c r="MO62" s="21"/>
      <c r="MP62" s="21"/>
      <c r="MQ62" s="21"/>
      <c r="MR62" s="21"/>
      <c r="MS62" s="21"/>
      <c r="MT62" s="21"/>
      <c r="MU62" s="21"/>
      <c r="MV62" s="21"/>
      <c r="MW62" s="21"/>
      <c r="MX62" s="21"/>
      <c r="MY62" s="21"/>
      <c r="MZ62" s="21"/>
      <c r="NA62" s="21"/>
      <c r="NB62" s="21"/>
      <c r="NC62" s="168">
        <v>-1859645</v>
      </c>
      <c r="ND62" s="168">
        <v>-786784</v>
      </c>
      <c r="NE62" s="21"/>
      <c r="NF62" s="21"/>
      <c r="NG62" s="168">
        <v>942464</v>
      </c>
      <c r="NH62" s="168">
        <v>307109</v>
      </c>
      <c r="NI62" s="21"/>
      <c r="NJ62" s="21"/>
      <c r="NK62" s="21"/>
      <c r="NL62" s="21"/>
      <c r="NM62" s="168">
        <v>732379</v>
      </c>
      <c r="NN62" s="168">
        <v>2738439</v>
      </c>
      <c r="NO62" s="168">
        <v>1674844</v>
      </c>
      <c r="NP62" s="168">
        <v>3045549</v>
      </c>
      <c r="NQ62" s="168" t="s">
        <v>1151</v>
      </c>
      <c r="NR62" s="168" t="s">
        <v>797</v>
      </c>
      <c r="NS62" s="168" t="s">
        <v>770</v>
      </c>
      <c r="NT62" s="168" t="s">
        <v>771</v>
      </c>
      <c r="NU62" s="168">
        <v>1301</v>
      </c>
      <c r="NV62" s="168" t="s">
        <v>2104</v>
      </c>
      <c r="NW62" s="168" t="s">
        <v>28</v>
      </c>
      <c r="NX62" s="168" t="s">
        <v>25</v>
      </c>
      <c r="NY62" s="169">
        <v>42916</v>
      </c>
      <c r="NZ62" s="169">
        <v>42551</v>
      </c>
      <c r="OA62" s="169">
        <v>43123</v>
      </c>
      <c r="OB62" s="168" t="s">
        <v>1152</v>
      </c>
      <c r="OC62" s="168">
        <v>12</v>
      </c>
      <c r="OD62" s="168" t="s">
        <v>2106</v>
      </c>
      <c r="OE62" s="168" t="s">
        <v>2197</v>
      </c>
      <c r="OF62" s="168" t="s">
        <v>2336</v>
      </c>
      <c r="OG62" s="168" t="s">
        <v>1903</v>
      </c>
      <c r="OH62" s="168" t="s">
        <v>943</v>
      </c>
      <c r="OI62" s="168" t="s">
        <v>766</v>
      </c>
      <c r="OJ62" s="168" t="s">
        <v>3240</v>
      </c>
      <c r="OK62" s="168" t="s">
        <v>796</v>
      </c>
    </row>
    <row r="63" spans="1:401" x14ac:dyDescent="0.2">
      <c r="A63" s="170" t="str">
        <f>Liste[[#This Row],[Siren]]</f>
        <v>441496973</v>
      </c>
      <c r="B63" s="198" t="str">
        <f>Liste[[#This Row],[Dénomination]]&amp;" - comptes "&amp;YEAR(Liste[[#This Row],[Date de cloture de l''exercice]])</f>
        <v>SPIFIN - comptes 2017</v>
      </c>
      <c r="C63" s="21"/>
      <c r="D63" s="21"/>
      <c r="E63" s="21"/>
      <c r="F63" s="168">
        <v>2435000</v>
      </c>
      <c r="G63" s="168">
        <v>1193000</v>
      </c>
      <c r="H63" s="21"/>
      <c r="I63" s="21"/>
      <c r="J63" s="168">
        <v>1304000</v>
      </c>
      <c r="K63" s="168">
        <v>253000</v>
      </c>
      <c r="L63" s="21"/>
      <c r="M63" s="21"/>
      <c r="N63" s="168">
        <v>27000</v>
      </c>
      <c r="O63" s="168">
        <v>24000</v>
      </c>
      <c r="P63" s="21"/>
      <c r="Q63" s="21"/>
      <c r="R63" s="21"/>
      <c r="S63" s="21"/>
      <c r="T63" s="21"/>
      <c r="U63" s="21"/>
      <c r="V63" s="168">
        <v>15000</v>
      </c>
      <c r="W63" s="21"/>
      <c r="X63" s="21"/>
      <c r="Y63" s="21"/>
      <c r="Z63" s="21"/>
      <c r="AA63" s="21"/>
      <c r="AB63" s="21"/>
      <c r="AC63" s="21"/>
      <c r="AD63" s="168">
        <v>366000</v>
      </c>
      <c r="AE63" s="168">
        <v>1075000</v>
      </c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168">
        <v>10056000</v>
      </c>
      <c r="BE63" s="168">
        <v>12349000</v>
      </c>
      <c r="BF63" s="21"/>
      <c r="BG63" s="21"/>
      <c r="BH63" s="168">
        <v>134000</v>
      </c>
      <c r="BI63" s="168">
        <v>34000</v>
      </c>
      <c r="BJ63" s="21"/>
      <c r="BK63" s="21"/>
      <c r="BL63" s="168">
        <v>5515000</v>
      </c>
      <c r="BM63" s="168">
        <v>5843000</v>
      </c>
      <c r="BN63" s="21"/>
      <c r="BO63" s="21"/>
      <c r="BP63" s="168">
        <v>578000</v>
      </c>
      <c r="BQ63" s="21"/>
      <c r="BR63" s="21"/>
      <c r="BS63" s="21"/>
      <c r="BT63" s="21"/>
      <c r="BU63" s="21"/>
      <c r="BV63" s="21"/>
      <c r="BW63" s="21"/>
      <c r="BX63" s="168">
        <v>5543000</v>
      </c>
      <c r="BY63" s="168">
        <v>8349000</v>
      </c>
      <c r="BZ63" s="21"/>
      <c r="CA63" s="21"/>
      <c r="CB63" s="21"/>
      <c r="CC63" s="21"/>
      <c r="CD63" s="21"/>
      <c r="CE63" s="168">
        <v>1638000</v>
      </c>
      <c r="CF63" s="168">
        <v>1638000</v>
      </c>
      <c r="CG63" s="21"/>
      <c r="CH63" s="21"/>
      <c r="CI63" s="168">
        <v>401000</v>
      </c>
      <c r="CJ63" s="168">
        <v>574000</v>
      </c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168">
        <v>1068000</v>
      </c>
      <c r="DD63" s="168">
        <v>127000</v>
      </c>
      <c r="DE63" s="21"/>
      <c r="DF63" s="21"/>
      <c r="DG63" s="168">
        <v>7772000</v>
      </c>
      <c r="DH63" s="168">
        <v>4600000</v>
      </c>
      <c r="DI63" s="21"/>
      <c r="DJ63" s="21"/>
      <c r="DK63" s="21"/>
      <c r="DL63" s="21"/>
      <c r="DM63" s="21"/>
      <c r="DN63" s="21"/>
      <c r="DO63" s="168">
        <v>3367000</v>
      </c>
      <c r="DP63" s="168">
        <v>3171000</v>
      </c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168">
        <v>19512000</v>
      </c>
      <c r="EM63" s="168">
        <v>14490000</v>
      </c>
      <c r="EN63" s="21"/>
      <c r="EO63" s="21"/>
      <c r="EP63" s="168">
        <v>26802000</v>
      </c>
      <c r="EQ63" s="168">
        <v>27085000</v>
      </c>
      <c r="ER63" s="21"/>
      <c r="ES63" s="21"/>
      <c r="ET63" s="168">
        <v>46314000</v>
      </c>
      <c r="EU63" s="168">
        <v>41575000</v>
      </c>
      <c r="EV63" s="21"/>
      <c r="EW63" s="21"/>
      <c r="EX63" s="168">
        <v>896000</v>
      </c>
      <c r="EY63" s="168">
        <v>896000</v>
      </c>
      <c r="EZ63" s="21"/>
      <c r="FA63" s="21"/>
      <c r="FB63" s="21"/>
      <c r="FC63" s="21"/>
      <c r="FD63" s="21"/>
      <c r="FE63" s="21"/>
      <c r="FF63" s="21"/>
      <c r="FG63" s="168">
        <v>1449000</v>
      </c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168">
        <v>3368000</v>
      </c>
      <c r="FX63" s="168">
        <v>3862000</v>
      </c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168">
        <v>6544000</v>
      </c>
      <c r="GN63" s="168">
        <v>7316000</v>
      </c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  <c r="HC63" s="21"/>
      <c r="HD63" s="21"/>
      <c r="HE63" s="168">
        <v>13440000</v>
      </c>
      <c r="HF63" s="168">
        <v>11601000</v>
      </c>
      <c r="HG63" s="21"/>
      <c r="HH63" s="21"/>
      <c r="HI63" s="168">
        <v>75000</v>
      </c>
      <c r="HJ63" s="168">
        <v>20000</v>
      </c>
      <c r="HK63" s="21"/>
      <c r="HL63" s="21"/>
      <c r="HM63" s="21"/>
      <c r="HN63" s="21"/>
      <c r="HO63" s="21"/>
      <c r="HP63" s="21"/>
      <c r="HQ63" s="21"/>
      <c r="HR63" s="21"/>
      <c r="HS63" s="21"/>
      <c r="HT63" s="21"/>
      <c r="HU63" s="21"/>
      <c r="HV63" s="21"/>
      <c r="HW63" s="168">
        <v>3266000</v>
      </c>
      <c r="HX63" s="168">
        <v>3222000</v>
      </c>
      <c r="HY63" s="21"/>
      <c r="HZ63" s="21"/>
      <c r="IA63" s="168">
        <v>74000</v>
      </c>
      <c r="IB63" s="168">
        <v>159000</v>
      </c>
      <c r="IC63" s="21"/>
      <c r="ID63" s="21"/>
      <c r="IE63" s="168">
        <v>698000</v>
      </c>
      <c r="IF63" s="168">
        <v>774000</v>
      </c>
      <c r="IG63" s="21"/>
      <c r="IH63" s="21"/>
      <c r="II63" s="21"/>
      <c r="IJ63" s="21"/>
      <c r="IK63" s="21"/>
      <c r="IL63" s="21"/>
      <c r="IM63" s="21"/>
      <c r="IN63" s="21"/>
      <c r="IO63" s="21"/>
      <c r="IP63" s="21"/>
      <c r="IQ63" s="21"/>
      <c r="IR63" s="21"/>
      <c r="IS63" s="21"/>
      <c r="IT63" s="21"/>
      <c r="IU63" s="168">
        <v>9912000</v>
      </c>
      <c r="IV63" s="168">
        <v>11178000</v>
      </c>
      <c r="IW63" s="168">
        <v>9923000</v>
      </c>
      <c r="IX63" s="168">
        <v>11194000</v>
      </c>
      <c r="IY63" s="168">
        <v>-11000</v>
      </c>
      <c r="IZ63" s="168">
        <v>-16000</v>
      </c>
      <c r="JA63" s="21"/>
      <c r="JB63" s="21"/>
      <c r="JC63" s="21"/>
      <c r="JD63" s="21"/>
      <c r="JE63" s="21"/>
      <c r="JF63" s="21"/>
      <c r="JG63" s="21"/>
      <c r="JH63" s="21"/>
      <c r="JI63" s="21"/>
      <c r="JJ63" s="21"/>
      <c r="JK63" s="21"/>
      <c r="JL63" s="21"/>
      <c r="JM63" s="21"/>
      <c r="JN63" s="21"/>
      <c r="JO63" s="21"/>
      <c r="JP63" s="168">
        <v>50003</v>
      </c>
      <c r="JQ63" s="21"/>
      <c r="JR63" s="21"/>
      <c r="JS63" s="21"/>
      <c r="JT63" s="21"/>
      <c r="JU63" s="21"/>
      <c r="JV63" s="21"/>
      <c r="JW63" s="168">
        <v>70981000</v>
      </c>
      <c r="JX63" s="168">
        <v>71679000</v>
      </c>
      <c r="JY63" s="21"/>
      <c r="JZ63" s="21"/>
      <c r="KA63" s="21"/>
      <c r="KB63" s="21"/>
      <c r="KC63" s="21"/>
      <c r="KD63" s="21"/>
      <c r="KE63" s="21"/>
      <c r="KF63" s="21"/>
      <c r="KG63" s="21"/>
      <c r="KH63" s="21"/>
      <c r="KI63" s="21"/>
      <c r="KJ63" s="21"/>
      <c r="KK63" s="21"/>
      <c r="KL63" s="21"/>
      <c r="KM63" s="21"/>
      <c r="KN63" s="21"/>
      <c r="KO63" s="21"/>
      <c r="KP63" s="21"/>
      <c r="KQ63" s="168">
        <v>781000</v>
      </c>
      <c r="KR63" s="168">
        <v>329000</v>
      </c>
      <c r="KS63" s="21"/>
      <c r="KT63" s="21"/>
      <c r="KU63" s="21"/>
      <c r="KV63" s="21"/>
      <c r="KW63" s="21"/>
      <c r="KX63" s="21"/>
      <c r="KY63" s="21"/>
      <c r="KZ63" s="21"/>
      <c r="LA63" s="168">
        <v>75000</v>
      </c>
      <c r="LB63" s="168">
        <v>75000</v>
      </c>
      <c r="LC63" s="21"/>
      <c r="LD63" s="21"/>
      <c r="LE63" s="21"/>
      <c r="LF63" s="21"/>
      <c r="LG63" s="21"/>
      <c r="LH63" s="21"/>
      <c r="LI63" s="168">
        <v>4827000</v>
      </c>
      <c r="LJ63" s="168">
        <v>4374000</v>
      </c>
      <c r="LK63" s="168">
        <v>6031000</v>
      </c>
      <c r="LL63" s="168">
        <v>6793000</v>
      </c>
      <c r="LM63" s="21"/>
      <c r="LN63" s="21"/>
      <c r="LO63" s="21"/>
      <c r="LP63" s="21"/>
      <c r="LQ63" s="21"/>
      <c r="LR63" s="21"/>
      <c r="LS63" s="21"/>
      <c r="LT63" s="21"/>
      <c r="LU63" s="21"/>
      <c r="LV63" s="21"/>
      <c r="LW63" s="21"/>
      <c r="LX63" s="21"/>
      <c r="LY63" s="21"/>
      <c r="LZ63" s="21"/>
      <c r="MA63" s="168">
        <v>508000</v>
      </c>
      <c r="MB63" s="168">
        <v>6000</v>
      </c>
      <c r="MC63" s="168">
        <v>1677000</v>
      </c>
      <c r="MD63" s="21"/>
      <c r="ME63" s="21"/>
      <c r="MF63" s="21"/>
      <c r="MG63" s="168">
        <v>188000</v>
      </c>
      <c r="MH63" s="168">
        <v>113000</v>
      </c>
      <c r="MI63" s="21"/>
      <c r="MJ63" s="21"/>
      <c r="MK63" s="21"/>
      <c r="ML63" s="21"/>
      <c r="MM63" s="21"/>
      <c r="MN63" s="21"/>
      <c r="MO63" s="21"/>
      <c r="MP63" s="21"/>
      <c r="MQ63" s="21"/>
      <c r="MR63" s="21"/>
      <c r="MS63" s="21"/>
      <c r="MT63" s="21"/>
      <c r="MU63" s="21"/>
      <c r="MV63" s="21"/>
      <c r="MW63" s="21"/>
      <c r="MX63" s="21"/>
      <c r="MY63" s="21"/>
      <c r="MZ63" s="21"/>
      <c r="NA63" s="21"/>
      <c r="NB63" s="21"/>
      <c r="NC63" s="168">
        <v>6544000</v>
      </c>
      <c r="ND63" s="168">
        <v>7316000</v>
      </c>
      <c r="NE63" s="21"/>
      <c r="NF63" s="21"/>
      <c r="NG63" s="168">
        <v>31758000</v>
      </c>
      <c r="NH63" s="168">
        <v>29463000</v>
      </c>
      <c r="NI63" s="21"/>
      <c r="NJ63" s="21"/>
      <c r="NK63" s="21"/>
      <c r="NL63" s="21"/>
      <c r="NM63" s="21"/>
      <c r="NN63" s="21"/>
      <c r="NO63" s="168">
        <v>46314000</v>
      </c>
      <c r="NP63" s="168">
        <v>41575000</v>
      </c>
      <c r="NQ63" s="168" t="s">
        <v>1427</v>
      </c>
      <c r="NR63" s="168" t="s">
        <v>769</v>
      </c>
      <c r="NS63" s="168" t="s">
        <v>770</v>
      </c>
      <c r="NT63" s="168" t="s">
        <v>771</v>
      </c>
      <c r="NU63" s="168">
        <v>101</v>
      </c>
      <c r="NV63" s="168" t="s">
        <v>2104</v>
      </c>
      <c r="NW63" s="168" t="s">
        <v>28</v>
      </c>
      <c r="NX63" s="168" t="s">
        <v>25</v>
      </c>
      <c r="NY63" s="169">
        <v>42916</v>
      </c>
      <c r="NZ63" s="169">
        <v>42551</v>
      </c>
      <c r="OA63" s="169">
        <v>43018</v>
      </c>
      <c r="OB63" s="168" t="s">
        <v>1428</v>
      </c>
      <c r="OC63" s="168">
        <v>12</v>
      </c>
      <c r="OD63" s="168" t="s">
        <v>2105</v>
      </c>
      <c r="OE63" s="168" t="s">
        <v>2514</v>
      </c>
      <c r="OF63" s="168" t="s">
        <v>2528</v>
      </c>
      <c r="OG63" s="168" t="s">
        <v>2012</v>
      </c>
      <c r="OH63" s="168" t="s">
        <v>911</v>
      </c>
      <c r="OI63" s="168" t="s">
        <v>766</v>
      </c>
      <c r="OJ63" s="168" t="s">
        <v>3240</v>
      </c>
      <c r="OK63" s="168" t="s">
        <v>767</v>
      </c>
    </row>
    <row r="64" spans="1:401" x14ac:dyDescent="0.2">
      <c r="A64" s="170" t="str">
        <f>Liste[[#This Row],[Siren]]</f>
        <v>775616626</v>
      </c>
      <c r="B64" s="198" t="str">
        <f>Liste[[#This Row],[Dénomination]]&amp;" - comptes "&amp;YEAR(Liste[[#This Row],[Date de cloture de l''exercice]])</f>
        <v>SOCIETE COOPERATIVE AGRICOLE E MC2 - comptes 2017</v>
      </c>
      <c r="C64" s="21"/>
      <c r="D64" s="21"/>
      <c r="E64" s="21"/>
      <c r="F64" s="168">
        <v>16623000</v>
      </c>
      <c r="G64" s="168">
        <v>12522000</v>
      </c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168">
        <v>86785000</v>
      </c>
      <c r="AM64" s="168">
        <v>70819000</v>
      </c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168">
        <v>6488000</v>
      </c>
      <c r="CF64" s="168">
        <v>3623000</v>
      </c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168">
        <v>125020000</v>
      </c>
      <c r="EM64" s="168">
        <v>123273000</v>
      </c>
      <c r="EN64" s="21"/>
      <c r="EO64" s="21"/>
      <c r="EP64" s="168">
        <v>173148000</v>
      </c>
      <c r="EQ64" s="168">
        <v>139612000</v>
      </c>
      <c r="ER64" s="21"/>
      <c r="ES64" s="21"/>
      <c r="ET64" s="168">
        <v>298168000</v>
      </c>
      <c r="EU64" s="168">
        <v>262885000</v>
      </c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168">
        <v>225000</v>
      </c>
      <c r="FJ64" s="168">
        <v>1189000</v>
      </c>
      <c r="FK64" s="21"/>
      <c r="FL64" s="21"/>
      <c r="FM64" s="21"/>
      <c r="FN64" s="21"/>
      <c r="FO64" s="21"/>
      <c r="FP64" s="21"/>
      <c r="FQ64" s="168">
        <v>284000</v>
      </c>
      <c r="FR64" s="168">
        <v>288000</v>
      </c>
      <c r="FS64" s="21"/>
      <c r="FT64" s="21"/>
      <c r="FU64" s="21"/>
      <c r="FV64" s="21"/>
      <c r="FW64" s="168">
        <v>395000</v>
      </c>
      <c r="FX64" s="168">
        <v>377000</v>
      </c>
      <c r="FY64" s="168">
        <v>99000</v>
      </c>
      <c r="FZ64" s="168">
        <v>96000</v>
      </c>
      <c r="GA64" s="21"/>
      <c r="GB64" s="21"/>
      <c r="GC64" s="21"/>
      <c r="GD64" s="21"/>
      <c r="GE64" s="21"/>
      <c r="GF64" s="21"/>
      <c r="GG64" s="21"/>
      <c r="GH64" s="21"/>
      <c r="GI64" s="21"/>
      <c r="GJ64" s="21"/>
      <c r="GK64" s="21"/>
      <c r="GL64" s="21"/>
      <c r="GM64" s="168">
        <v>3353000</v>
      </c>
      <c r="GN64" s="168">
        <v>4644000</v>
      </c>
      <c r="GO64" s="168">
        <v>1183000</v>
      </c>
      <c r="GP64" s="168">
        <v>3259000</v>
      </c>
      <c r="GQ64" s="168">
        <v>2454000</v>
      </c>
      <c r="GR64" s="168">
        <v>1672000</v>
      </c>
      <c r="GS64" s="168">
        <v>3254000</v>
      </c>
      <c r="GT64" s="168">
        <v>4548000</v>
      </c>
      <c r="GU64" s="21"/>
      <c r="GV64" s="21"/>
      <c r="GW64" s="21"/>
      <c r="GX64" s="21"/>
      <c r="GY64" s="21"/>
      <c r="GZ64" s="21"/>
      <c r="HA64" s="21"/>
      <c r="HB64" s="21"/>
      <c r="HC64" s="21"/>
      <c r="HD64" s="21"/>
      <c r="HE64" s="168">
        <v>17973000</v>
      </c>
      <c r="HF64" s="168">
        <v>18934000</v>
      </c>
      <c r="HG64" s="21"/>
      <c r="HH64" s="21"/>
      <c r="HI64" s="168">
        <v>4863000</v>
      </c>
      <c r="HJ64" s="168">
        <v>3309000</v>
      </c>
      <c r="HK64" s="21"/>
      <c r="HL64" s="21"/>
      <c r="HM64" s="21"/>
      <c r="HN64" s="21"/>
      <c r="HO64" s="21"/>
      <c r="HP64" s="21"/>
      <c r="HQ64" s="21"/>
      <c r="HR64" s="21"/>
      <c r="HS64" s="21"/>
      <c r="HT64" s="21"/>
      <c r="HU64" s="168">
        <v>12616000</v>
      </c>
      <c r="HV64" s="168">
        <v>10332000</v>
      </c>
      <c r="HW64" s="21"/>
      <c r="HX64" s="21"/>
      <c r="HY64" s="21"/>
      <c r="HZ64" s="21"/>
      <c r="IA64" s="21"/>
      <c r="IB64" s="21"/>
      <c r="IC64" s="21"/>
      <c r="ID64" s="21"/>
      <c r="IE64" s="168">
        <v>2733000</v>
      </c>
      <c r="IF64" s="168">
        <v>2680000</v>
      </c>
      <c r="IG64" s="21"/>
      <c r="IH64" s="21"/>
      <c r="II64" s="21"/>
      <c r="IJ64" s="21"/>
      <c r="IK64" s="21"/>
      <c r="IL64" s="21"/>
      <c r="IM64" s="21"/>
      <c r="IN64" s="21"/>
      <c r="IO64" s="21"/>
      <c r="IP64" s="21"/>
      <c r="IQ64" s="21"/>
      <c r="IR64" s="21"/>
      <c r="IS64" s="21"/>
      <c r="IT64" s="21"/>
      <c r="IU64" s="168">
        <v>1353000</v>
      </c>
      <c r="IV64" s="168">
        <v>2447000</v>
      </c>
      <c r="IW64" s="168">
        <v>979000</v>
      </c>
      <c r="IX64" s="168">
        <v>3646000</v>
      </c>
      <c r="IY64" s="168">
        <v>214000</v>
      </c>
      <c r="IZ64" s="168">
        <v>-1375000</v>
      </c>
      <c r="JA64" s="21"/>
      <c r="JB64" s="21"/>
      <c r="JC64" s="21"/>
      <c r="JD64" s="21"/>
      <c r="JE64" s="168">
        <v>33146000</v>
      </c>
      <c r="JF64" s="168">
        <v>34210000</v>
      </c>
      <c r="JG64" s="21"/>
      <c r="JH64" s="21"/>
      <c r="JI64" s="168">
        <v>461284000</v>
      </c>
      <c r="JJ64" s="168">
        <v>542172000</v>
      </c>
      <c r="JK64" s="168">
        <v>2291000</v>
      </c>
      <c r="JL64" s="168">
        <v>3510000</v>
      </c>
      <c r="JM64" s="168">
        <v>462262000</v>
      </c>
      <c r="JN64" s="168">
        <v>545819000</v>
      </c>
      <c r="JO64" s="168">
        <v>2504000</v>
      </c>
      <c r="JP64" s="168">
        <v>2136000</v>
      </c>
      <c r="JQ64" s="21"/>
      <c r="JR64" s="21"/>
      <c r="JS64" s="21"/>
      <c r="JT64" s="21"/>
      <c r="JU64" s="21"/>
      <c r="JV64" s="21"/>
      <c r="JW64" s="168">
        <v>457400000</v>
      </c>
      <c r="JX64" s="168">
        <v>542509000</v>
      </c>
      <c r="JY64" s="21"/>
      <c r="JZ64" s="21"/>
      <c r="KA64" s="21"/>
      <c r="KB64" s="21"/>
      <c r="KC64" s="21"/>
      <c r="KD64" s="21"/>
      <c r="KE64" s="21"/>
      <c r="KF64" s="21"/>
      <c r="KG64" s="21"/>
      <c r="KH64" s="21"/>
      <c r="KI64" s="21"/>
      <c r="KJ64" s="21"/>
      <c r="KK64" s="21"/>
      <c r="KL64" s="21"/>
      <c r="KM64" s="21"/>
      <c r="KN64" s="21"/>
      <c r="KO64" s="21"/>
      <c r="KP64" s="21"/>
      <c r="KQ64" s="168">
        <v>24729000</v>
      </c>
      <c r="KR64" s="168">
        <v>22263000</v>
      </c>
      <c r="KS64" s="21"/>
      <c r="KT64" s="21"/>
      <c r="KU64" s="21"/>
      <c r="KV64" s="21"/>
      <c r="KW64" s="21"/>
      <c r="KX64" s="21"/>
      <c r="KY64" s="21"/>
      <c r="KZ64" s="21"/>
      <c r="LA64" s="168">
        <v>19343000</v>
      </c>
      <c r="LB64" s="168">
        <v>19097000</v>
      </c>
      <c r="LC64" s="21"/>
      <c r="LD64" s="21"/>
      <c r="LE64" s="21"/>
      <c r="LF64" s="21"/>
      <c r="LG64" s="21"/>
      <c r="LH64" s="21"/>
      <c r="LI64" s="21"/>
      <c r="LJ64" s="21"/>
      <c r="LK64" s="21"/>
      <c r="LL64" s="21"/>
      <c r="LM64" s="21"/>
      <c r="LN64" s="21"/>
      <c r="LO64" s="21"/>
      <c r="LP64" s="21"/>
      <c r="LQ64" s="21"/>
      <c r="LR64" s="21"/>
      <c r="LS64" s="21"/>
      <c r="LT64" s="21"/>
      <c r="LU64" s="21"/>
      <c r="LV64" s="21"/>
      <c r="LW64" s="21"/>
      <c r="LX64" s="21"/>
      <c r="LY64" s="21"/>
      <c r="LZ64" s="21"/>
      <c r="MA64" s="168">
        <v>71005000</v>
      </c>
      <c r="MB64" s="168">
        <v>42881000</v>
      </c>
      <c r="MC64" s="168">
        <v>40833000</v>
      </c>
      <c r="MD64" s="168">
        <v>37045000</v>
      </c>
      <c r="ME64" s="21"/>
      <c r="MF64" s="21"/>
      <c r="MG64" s="21"/>
      <c r="MH64" s="21"/>
      <c r="MI64" s="21"/>
      <c r="MJ64" s="21"/>
      <c r="MK64" s="21"/>
      <c r="ML64" s="21"/>
      <c r="MM64" s="21"/>
      <c r="MN64" s="21"/>
      <c r="MO64" s="21"/>
      <c r="MP64" s="21"/>
      <c r="MQ64" s="21"/>
      <c r="MR64" s="21"/>
      <c r="MS64" s="21"/>
      <c r="MT64" s="21"/>
      <c r="MU64" s="21"/>
      <c r="MV64" s="21"/>
      <c r="MW64" s="21"/>
      <c r="MX64" s="21"/>
      <c r="MY64" s="21"/>
      <c r="MZ64" s="21"/>
      <c r="NA64" s="21"/>
      <c r="NB64" s="21"/>
      <c r="NC64" s="168">
        <v>3254000</v>
      </c>
      <c r="ND64" s="168">
        <v>4548000</v>
      </c>
      <c r="NE64" s="21"/>
      <c r="NF64" s="21"/>
      <c r="NG64" s="168">
        <v>126438000</v>
      </c>
      <c r="NH64" s="168">
        <v>126564000</v>
      </c>
      <c r="NI64" s="21"/>
      <c r="NJ64" s="21"/>
      <c r="NK64" s="168">
        <v>260000</v>
      </c>
      <c r="NL64" s="168">
        <v>260000</v>
      </c>
      <c r="NM64" s="168">
        <v>163031000</v>
      </c>
      <c r="NN64" s="168">
        <v>127286000</v>
      </c>
      <c r="NO64" s="168">
        <v>298168000</v>
      </c>
      <c r="NP64" s="168">
        <v>262885000</v>
      </c>
      <c r="NQ64" s="168" t="s">
        <v>866</v>
      </c>
      <c r="NR64" s="168" t="s">
        <v>775</v>
      </c>
      <c r="NS64" s="168" t="s">
        <v>770</v>
      </c>
      <c r="NT64" s="168" t="s">
        <v>771</v>
      </c>
      <c r="NU64" s="168">
        <v>5501</v>
      </c>
      <c r="NV64" s="168" t="s">
        <v>2104</v>
      </c>
      <c r="NW64" s="168" t="s">
        <v>28</v>
      </c>
      <c r="NX64" s="168" t="s">
        <v>25</v>
      </c>
      <c r="NY64" s="169">
        <v>42916</v>
      </c>
      <c r="NZ64" s="169">
        <v>42551</v>
      </c>
      <c r="OA64" s="169">
        <v>43097</v>
      </c>
      <c r="OB64" s="168" t="s">
        <v>867</v>
      </c>
      <c r="OC64" s="168">
        <v>12</v>
      </c>
      <c r="OD64" s="168" t="s">
        <v>2105</v>
      </c>
      <c r="OE64" s="168" t="s">
        <v>3398</v>
      </c>
      <c r="OF64" s="168" t="s">
        <v>2135</v>
      </c>
      <c r="OG64" s="168" t="s">
        <v>1824</v>
      </c>
      <c r="OH64" s="168" t="s">
        <v>865</v>
      </c>
      <c r="OI64" s="168" t="s">
        <v>766</v>
      </c>
      <c r="OJ64" s="168" t="s">
        <v>3240</v>
      </c>
      <c r="OK64" s="168" t="s">
        <v>773</v>
      </c>
    </row>
    <row r="65" spans="1:401" x14ac:dyDescent="0.2">
      <c r="A65" s="170" t="str">
        <f>Liste[[#This Row],[Siren]]</f>
        <v>441378312</v>
      </c>
      <c r="B65" s="198" t="str">
        <f>Liste[[#This Row],[Dénomination]]&amp;" - comptes "&amp;YEAR(Liste[[#This Row],[Date de cloture de l''exercice]])</f>
        <v>DAMARTEX - comptes 2017</v>
      </c>
      <c r="C65" s="21"/>
      <c r="D65" s="21"/>
      <c r="E65" s="21"/>
      <c r="F65" s="21"/>
      <c r="G65" s="21"/>
      <c r="H65" s="21"/>
      <c r="I65" s="21"/>
      <c r="J65" s="168">
        <v>78437</v>
      </c>
      <c r="K65" s="168">
        <v>73012</v>
      </c>
      <c r="L65" s="21"/>
      <c r="M65" s="21"/>
      <c r="N65" s="21"/>
      <c r="O65" s="21"/>
      <c r="P65" s="21"/>
      <c r="Q65" s="21"/>
      <c r="R65" s="168">
        <v>76863</v>
      </c>
      <c r="S65" s="168">
        <v>71006</v>
      </c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168">
        <v>52588</v>
      </c>
      <c r="BE65" s="168">
        <v>51294</v>
      </c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168">
        <v>41691</v>
      </c>
      <c r="CF65" s="168">
        <v>20637</v>
      </c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168">
        <v>392956</v>
      </c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168">
        <v>19273000</v>
      </c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168">
        <v>-2579000</v>
      </c>
      <c r="FX65" s="168">
        <v>-1080000</v>
      </c>
      <c r="FY65" s="21"/>
      <c r="FZ65" s="21"/>
      <c r="GA65" s="21"/>
      <c r="GB65" s="21"/>
      <c r="GC65" s="21"/>
      <c r="GD65" s="21"/>
      <c r="GE65" s="21"/>
      <c r="GF65" s="21"/>
      <c r="GG65" s="21"/>
      <c r="GH65" s="21"/>
      <c r="GI65" s="21"/>
      <c r="GJ65" s="21"/>
      <c r="GK65" s="21"/>
      <c r="GL65" s="21"/>
      <c r="GM65" s="168">
        <v>16249000</v>
      </c>
      <c r="GN65" s="168">
        <v>16260000</v>
      </c>
      <c r="GO65" s="21"/>
      <c r="GP65" s="21"/>
      <c r="GQ65" s="21"/>
      <c r="GR65" s="21"/>
      <c r="GS65" s="21"/>
      <c r="GT65" s="21"/>
      <c r="GU65" s="21"/>
      <c r="GV65" s="21"/>
      <c r="GW65" s="21"/>
      <c r="GX65" s="21"/>
      <c r="GY65" s="21"/>
      <c r="GZ65" s="21"/>
      <c r="HA65" s="21"/>
      <c r="HB65" s="21"/>
      <c r="HC65" s="168">
        <v>-337245000</v>
      </c>
      <c r="HD65" s="168">
        <v>-318696000</v>
      </c>
      <c r="HE65" s="168">
        <v>-3177000</v>
      </c>
      <c r="HF65" s="168">
        <v>-1273000</v>
      </c>
      <c r="HG65" s="21"/>
      <c r="HH65" s="21"/>
      <c r="HI65" s="168">
        <v>1472000</v>
      </c>
      <c r="HJ65" s="168">
        <v>189000</v>
      </c>
      <c r="HK65" s="21"/>
      <c r="HL65" s="21"/>
      <c r="HM65" s="21"/>
      <c r="HN65" s="21"/>
      <c r="HO65" s="21"/>
      <c r="HP65" s="21"/>
      <c r="HQ65" s="21"/>
      <c r="HR65" s="21"/>
      <c r="HS65" s="21"/>
      <c r="HT65" s="21"/>
      <c r="HU65" s="21"/>
      <c r="HV65" s="21"/>
      <c r="HW65" s="21"/>
      <c r="HX65" s="21"/>
      <c r="HY65" s="21"/>
      <c r="HZ65" s="21"/>
      <c r="IA65" s="21"/>
      <c r="IB65" s="21"/>
      <c r="IC65" s="21"/>
      <c r="ID65" s="21"/>
      <c r="IE65" s="21"/>
      <c r="IF65" s="21"/>
      <c r="IG65" s="21"/>
      <c r="IH65" s="21"/>
      <c r="II65" s="21"/>
      <c r="IJ65" s="21"/>
      <c r="IK65" s="21"/>
      <c r="IL65" s="21"/>
      <c r="IM65" s="21"/>
      <c r="IN65" s="21"/>
      <c r="IO65" s="21"/>
      <c r="IP65" s="21"/>
      <c r="IQ65" s="21"/>
      <c r="IR65" s="21"/>
      <c r="IS65" s="21"/>
      <c r="IT65" s="21"/>
      <c r="IU65" s="168">
        <v>18877000</v>
      </c>
      <c r="IV65" s="168">
        <v>20353000</v>
      </c>
      <c r="IW65" s="21"/>
      <c r="IX65" s="21"/>
      <c r="IY65" s="168">
        <v>-2393000</v>
      </c>
      <c r="IZ65" s="168">
        <v>-204000</v>
      </c>
      <c r="JA65" s="21"/>
      <c r="JB65" s="21"/>
      <c r="JC65" s="21"/>
      <c r="JD65" s="21"/>
      <c r="JE65" s="21"/>
      <c r="JF65" s="21"/>
      <c r="JG65" s="21"/>
      <c r="JH65" s="21"/>
      <c r="JI65" s="21"/>
      <c r="JJ65" s="21"/>
      <c r="JK65" s="168">
        <v>-2401000</v>
      </c>
      <c r="JL65" s="168">
        <v>-604000</v>
      </c>
      <c r="JM65" s="21"/>
      <c r="JN65" s="21"/>
      <c r="JO65" s="168">
        <v>8000</v>
      </c>
      <c r="JP65" s="168">
        <v>400000</v>
      </c>
      <c r="JQ65" s="21"/>
      <c r="JR65" s="21"/>
      <c r="JS65" s="21"/>
      <c r="JT65" s="21"/>
      <c r="JU65" s="21"/>
      <c r="JV65" s="21"/>
      <c r="JW65" s="168">
        <v>571932000</v>
      </c>
      <c r="JX65" s="168">
        <v>712266000</v>
      </c>
      <c r="JY65" s="21"/>
      <c r="JZ65" s="21"/>
      <c r="KA65" s="21"/>
      <c r="KB65" s="21"/>
      <c r="KC65" s="21"/>
      <c r="KD65" s="21"/>
      <c r="KE65" s="21"/>
      <c r="KF65" s="21"/>
      <c r="KG65" s="21"/>
      <c r="KH65" s="21"/>
      <c r="KI65" s="21"/>
      <c r="KJ65" s="21"/>
      <c r="KK65" s="21"/>
      <c r="KL65" s="21"/>
      <c r="KM65" s="21"/>
      <c r="KN65" s="21"/>
      <c r="KO65" s="21"/>
      <c r="KP65" s="21"/>
      <c r="KQ65" s="168">
        <v>31836000</v>
      </c>
      <c r="KR65" s="168">
        <v>53641000</v>
      </c>
      <c r="KS65" s="21"/>
      <c r="KT65" s="21"/>
      <c r="KU65" s="21"/>
      <c r="KV65" s="21"/>
      <c r="KW65" s="21"/>
      <c r="KX65" s="21"/>
      <c r="KY65" s="21"/>
      <c r="KZ65" s="21"/>
      <c r="LA65" s="21"/>
      <c r="LB65" s="21"/>
      <c r="LC65" s="21"/>
      <c r="LD65" s="21"/>
      <c r="LE65" s="21"/>
      <c r="LF65" s="21"/>
      <c r="LG65" s="21"/>
      <c r="LH65" s="21"/>
      <c r="LI65" s="21"/>
      <c r="LJ65" s="21"/>
      <c r="LK65" s="21"/>
      <c r="LL65" s="21"/>
      <c r="LM65" s="21"/>
      <c r="LN65" s="21"/>
      <c r="LO65" s="21"/>
      <c r="LP65" s="21"/>
      <c r="LQ65" s="21"/>
      <c r="LR65" s="21"/>
      <c r="LS65" s="21"/>
      <c r="LT65" s="21"/>
      <c r="LU65" s="21"/>
      <c r="LV65" s="21"/>
      <c r="LW65" s="21"/>
      <c r="LX65" s="21"/>
      <c r="LY65" s="168">
        <v>41691000</v>
      </c>
      <c r="LZ65" s="168">
        <v>20637000</v>
      </c>
      <c r="MA65" s="21"/>
      <c r="MB65" s="21"/>
      <c r="MC65" s="21"/>
      <c r="MD65" s="21"/>
      <c r="ME65" s="21"/>
      <c r="MF65" s="21"/>
      <c r="MG65" s="21"/>
      <c r="MH65" s="21"/>
      <c r="MI65" s="21"/>
      <c r="MJ65" s="21"/>
      <c r="MK65" s="21"/>
      <c r="ML65" s="21"/>
      <c r="MM65" s="21"/>
      <c r="MN65" s="21"/>
      <c r="MO65" s="21"/>
      <c r="MP65" s="21"/>
      <c r="MQ65" s="21"/>
      <c r="MR65" s="21"/>
      <c r="MS65" s="21"/>
      <c r="MT65" s="21"/>
      <c r="MU65" s="21"/>
      <c r="MV65" s="21"/>
      <c r="MW65" s="21"/>
      <c r="MX65" s="21"/>
      <c r="MY65" s="21"/>
      <c r="MZ65" s="21"/>
      <c r="NA65" s="21"/>
      <c r="NB65" s="21"/>
      <c r="NC65" s="21"/>
      <c r="ND65" s="21"/>
      <c r="NE65" s="21"/>
      <c r="NF65" s="21"/>
      <c r="NG65" s="21"/>
      <c r="NH65" s="21"/>
      <c r="NI65" s="21"/>
      <c r="NJ65" s="21"/>
      <c r="NK65" s="21"/>
      <c r="NL65" s="21"/>
      <c r="NM65" s="168">
        <v>238195000</v>
      </c>
      <c r="NN65" s="168">
        <v>225795000</v>
      </c>
      <c r="NO65" s="168">
        <v>876741</v>
      </c>
      <c r="NP65" s="21"/>
      <c r="NQ65" s="168" t="s">
        <v>1211</v>
      </c>
      <c r="NR65" s="168" t="s">
        <v>769</v>
      </c>
      <c r="NS65" s="168" t="s">
        <v>770</v>
      </c>
      <c r="NT65" s="168" t="s">
        <v>771</v>
      </c>
      <c r="NU65" s="168">
        <v>5910</v>
      </c>
      <c r="NV65" s="168" t="s">
        <v>2104</v>
      </c>
      <c r="NW65" s="168" t="s">
        <v>28</v>
      </c>
      <c r="NX65" s="168" t="s">
        <v>25</v>
      </c>
      <c r="NY65" s="169">
        <v>42916</v>
      </c>
      <c r="NZ65" s="21"/>
      <c r="OA65" s="169">
        <v>43091</v>
      </c>
      <c r="OB65" s="168" t="s">
        <v>3399</v>
      </c>
      <c r="OC65" s="168">
        <v>12</v>
      </c>
      <c r="OD65" s="168" t="s">
        <v>2105</v>
      </c>
      <c r="OE65" s="168" t="s">
        <v>3400</v>
      </c>
      <c r="OF65" s="168" t="s">
        <v>3401</v>
      </c>
      <c r="OG65" s="168" t="s">
        <v>3402</v>
      </c>
      <c r="OH65" s="168" t="s">
        <v>907</v>
      </c>
      <c r="OI65" s="168" t="s">
        <v>766</v>
      </c>
      <c r="OJ65" s="168" t="s">
        <v>3240</v>
      </c>
      <c r="OK65" s="168" t="s">
        <v>767</v>
      </c>
    </row>
    <row r="66" spans="1:401" x14ac:dyDescent="0.2">
      <c r="A66" s="170" t="str">
        <f>Liste[[#This Row],[Siren]]</f>
        <v>305320525</v>
      </c>
      <c r="B66" s="198" t="str">
        <f>Liste[[#This Row],[Dénomination]]&amp;" - comptes "&amp;YEAR(Liste[[#This Row],[Date de cloture de l''exercice]])</f>
        <v>SOCIETE COOPERATIVE AGRICOLE ILE DE FRANCE SUD - comptes 2017</v>
      </c>
      <c r="C66" s="21"/>
      <c r="D66" s="21"/>
      <c r="E66" s="21"/>
      <c r="F66" s="168">
        <v>1587528</v>
      </c>
      <c r="G66" s="168">
        <v>1328049</v>
      </c>
      <c r="H66" s="168">
        <v>1587528</v>
      </c>
      <c r="I66" s="168">
        <v>2018500</v>
      </c>
      <c r="J66" s="168">
        <v>533775</v>
      </c>
      <c r="K66" s="168">
        <v>565349</v>
      </c>
      <c r="L66" s="168">
        <v>2552275</v>
      </c>
      <c r="M66" s="21"/>
      <c r="N66" s="168">
        <v>41821</v>
      </c>
      <c r="O66" s="168">
        <v>41821</v>
      </c>
      <c r="P66" s="168">
        <v>41821</v>
      </c>
      <c r="Q66" s="21"/>
      <c r="R66" s="21"/>
      <c r="S66" s="21"/>
      <c r="T66" s="21"/>
      <c r="U66" s="21"/>
      <c r="V66" s="168">
        <v>802963</v>
      </c>
      <c r="W66" s="168">
        <v>802346</v>
      </c>
      <c r="X66" s="168">
        <v>802963</v>
      </c>
      <c r="Y66" s="168">
        <v>350000</v>
      </c>
      <c r="Z66" s="168">
        <v>54239</v>
      </c>
      <c r="AA66" s="168">
        <v>54239</v>
      </c>
      <c r="AB66" s="168">
        <v>404239</v>
      </c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168">
        <v>124269</v>
      </c>
      <c r="BD66" s="168">
        <v>7171295</v>
      </c>
      <c r="BE66" s="168">
        <v>9394144</v>
      </c>
      <c r="BF66" s="168">
        <v>7295564</v>
      </c>
      <c r="BG66" s="21"/>
      <c r="BH66" s="21"/>
      <c r="BI66" s="21"/>
      <c r="BJ66" s="21"/>
      <c r="BK66" s="168">
        <v>12750867</v>
      </c>
      <c r="BL66" s="168">
        <v>8426901</v>
      </c>
      <c r="BM66" s="168">
        <v>8739871</v>
      </c>
      <c r="BN66" s="168">
        <v>21177768</v>
      </c>
      <c r="BO66" s="21"/>
      <c r="BP66" s="21"/>
      <c r="BQ66" s="21"/>
      <c r="BR66" s="21"/>
      <c r="BS66" s="21"/>
      <c r="BT66" s="21"/>
      <c r="BU66" s="21"/>
      <c r="BV66" s="21"/>
      <c r="BW66" s="21"/>
      <c r="BX66" s="168">
        <v>1006087</v>
      </c>
      <c r="BY66" s="168">
        <v>1015040</v>
      </c>
      <c r="BZ66" s="168">
        <v>1006087</v>
      </c>
      <c r="CA66" s="21"/>
      <c r="CB66" s="21"/>
      <c r="CC66" s="21"/>
      <c r="CD66" s="168">
        <v>37290</v>
      </c>
      <c r="CE66" s="21"/>
      <c r="CF66" s="21"/>
      <c r="CG66" s="168">
        <v>37290</v>
      </c>
      <c r="CH66" s="21"/>
      <c r="CI66" s="21"/>
      <c r="CJ66" s="21"/>
      <c r="CK66" s="21"/>
      <c r="CL66" s="21"/>
      <c r="CM66" s="21"/>
      <c r="CN66" s="21"/>
      <c r="CO66" s="21"/>
      <c r="CP66" s="168">
        <v>145867</v>
      </c>
      <c r="CQ66" s="21"/>
      <c r="CR66" s="21"/>
      <c r="CS66" s="168">
        <v>145867</v>
      </c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168">
        <v>9586946</v>
      </c>
      <c r="DG66" s="168">
        <v>2304065</v>
      </c>
      <c r="DH66" s="168">
        <v>2630500</v>
      </c>
      <c r="DI66" s="168">
        <v>11891011</v>
      </c>
      <c r="DJ66" s="168">
        <v>21295</v>
      </c>
      <c r="DK66" s="168">
        <v>6142939</v>
      </c>
      <c r="DL66" s="168">
        <v>6727800</v>
      </c>
      <c r="DM66" s="168">
        <v>6164234</v>
      </c>
      <c r="DN66" s="21"/>
      <c r="DO66" s="168">
        <v>52797</v>
      </c>
      <c r="DP66" s="168">
        <v>78005</v>
      </c>
      <c r="DQ66" s="168">
        <v>52797</v>
      </c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168">
        <v>25085017</v>
      </c>
      <c r="EL66" s="168">
        <v>15375275</v>
      </c>
      <c r="EM66" s="168">
        <v>14513986</v>
      </c>
      <c r="EN66" s="168">
        <v>40460293</v>
      </c>
      <c r="EO66" s="168">
        <v>145564</v>
      </c>
      <c r="EP66" s="168">
        <v>16084623</v>
      </c>
      <c r="EQ66" s="168">
        <v>18668973</v>
      </c>
      <c r="ER66" s="168">
        <v>16230187</v>
      </c>
      <c r="ES66" s="168">
        <v>25230581</v>
      </c>
      <c r="ET66" s="168">
        <v>31459898</v>
      </c>
      <c r="EU66" s="168">
        <v>33182959</v>
      </c>
      <c r="EV66" s="168">
        <v>56690479</v>
      </c>
      <c r="EW66" s="168">
        <v>14146</v>
      </c>
      <c r="EX66" s="168">
        <v>1181271</v>
      </c>
      <c r="EY66" s="168">
        <v>1154564</v>
      </c>
      <c r="EZ66" s="168">
        <v>1195418</v>
      </c>
      <c r="FA66" s="21"/>
      <c r="FB66" s="21"/>
      <c r="FC66" s="21"/>
      <c r="FD66" s="21"/>
      <c r="FE66" s="21"/>
      <c r="FF66" s="21"/>
      <c r="FG66" s="21"/>
      <c r="FH66" s="21"/>
      <c r="FI66" s="168">
        <v>-20742</v>
      </c>
      <c r="FJ66" s="168">
        <v>328090</v>
      </c>
      <c r="FK66" s="21"/>
      <c r="FL66" s="21"/>
      <c r="FM66" s="168">
        <v>99542</v>
      </c>
      <c r="FN66" s="168">
        <v>76586</v>
      </c>
      <c r="FO66" s="168">
        <v>21882</v>
      </c>
      <c r="FP66" s="168">
        <v>10494</v>
      </c>
      <c r="FQ66" s="21"/>
      <c r="FR66" s="21"/>
      <c r="FS66" s="21"/>
      <c r="FT66" s="21"/>
      <c r="FU66" s="21"/>
      <c r="FV66" s="21"/>
      <c r="FW66" s="168">
        <v>52544</v>
      </c>
      <c r="FX66" s="168">
        <v>169925</v>
      </c>
      <c r="FY66" s="21"/>
      <c r="FZ66" s="21"/>
      <c r="GA66" s="168">
        <v>4440</v>
      </c>
      <c r="GB66" s="168">
        <v>44137</v>
      </c>
      <c r="GC66" s="168">
        <v>35177</v>
      </c>
      <c r="GD66" s="168">
        <v>37979</v>
      </c>
      <c r="GE66" s="168">
        <v>65505</v>
      </c>
      <c r="GF66" s="168">
        <v>377191</v>
      </c>
      <c r="GG66" s="21"/>
      <c r="GH66" s="21"/>
      <c r="GI66" s="21"/>
      <c r="GJ66" s="21"/>
      <c r="GK66" s="21"/>
      <c r="GL66" s="21"/>
      <c r="GM66" s="168">
        <v>-203514</v>
      </c>
      <c r="GN66" s="168">
        <v>830209</v>
      </c>
      <c r="GO66" s="21"/>
      <c r="GP66" s="21"/>
      <c r="GQ66" s="21"/>
      <c r="GR66" s="21"/>
      <c r="GS66" s="21"/>
      <c r="GT66" s="21"/>
      <c r="GU66" s="168">
        <v>121424</v>
      </c>
      <c r="GV66" s="168">
        <v>87080</v>
      </c>
      <c r="GW66" s="168">
        <v>100682</v>
      </c>
      <c r="GX66" s="168">
        <v>415170</v>
      </c>
      <c r="GY66" s="168">
        <v>39418586</v>
      </c>
      <c r="GZ66" s="168">
        <v>58070239</v>
      </c>
      <c r="HA66" s="168">
        <v>472476</v>
      </c>
      <c r="HB66" s="168">
        <v>382593</v>
      </c>
      <c r="HC66" s="168">
        <v>2705676</v>
      </c>
      <c r="HD66" s="168">
        <v>3577038</v>
      </c>
      <c r="HE66" s="168">
        <v>32901</v>
      </c>
      <c r="HF66" s="168">
        <v>33418</v>
      </c>
      <c r="HG66" s="168">
        <v>57456</v>
      </c>
      <c r="HH66" s="168">
        <v>78626</v>
      </c>
      <c r="HI66" s="168">
        <v>218043</v>
      </c>
      <c r="HJ66" s="168">
        <v>245379</v>
      </c>
      <c r="HK66" s="21"/>
      <c r="HL66" s="21"/>
      <c r="HM66" s="21"/>
      <c r="HN66" s="21"/>
      <c r="HO66" s="168">
        <v>1081301</v>
      </c>
      <c r="HP66" s="168">
        <v>1084659</v>
      </c>
      <c r="HQ66" s="21"/>
      <c r="HR66" s="21"/>
      <c r="HS66" s="21"/>
      <c r="HT66" s="21"/>
      <c r="HU66" s="168">
        <v>1117066</v>
      </c>
      <c r="HV66" s="168">
        <v>1121992</v>
      </c>
      <c r="HW66" s="168">
        <v>134851</v>
      </c>
      <c r="HX66" s="168">
        <v>197926</v>
      </c>
      <c r="HY66" s="21"/>
      <c r="HZ66" s="21"/>
      <c r="IA66" s="21"/>
      <c r="IB66" s="21"/>
      <c r="IC66" s="21"/>
      <c r="ID66" s="21"/>
      <c r="IE66" s="168">
        <v>584203</v>
      </c>
      <c r="IF66" s="168">
        <v>600994</v>
      </c>
      <c r="IG66" s="168">
        <v>172723</v>
      </c>
      <c r="IH66" s="168">
        <v>255362</v>
      </c>
      <c r="II66" s="21"/>
      <c r="IJ66" s="21"/>
      <c r="IK66" s="21"/>
      <c r="IL66" s="21"/>
      <c r="IM66" s="21"/>
      <c r="IN66" s="21"/>
      <c r="IO66" s="21"/>
      <c r="IP66" s="21"/>
      <c r="IQ66" s="168">
        <v>13956</v>
      </c>
      <c r="IR66" s="168">
        <v>14044</v>
      </c>
      <c r="IS66" s="21"/>
      <c r="IT66" s="21"/>
      <c r="IU66" s="168">
        <v>-125788</v>
      </c>
      <c r="IV66" s="168">
        <v>716181</v>
      </c>
      <c r="IW66" s="168">
        <v>-24477</v>
      </c>
      <c r="IX66" s="168">
        <v>878873</v>
      </c>
      <c r="IY66" s="21"/>
      <c r="IZ66" s="21"/>
      <c r="JA66" s="168">
        <v>507150</v>
      </c>
      <c r="JB66" s="168">
        <v>43026</v>
      </c>
      <c r="JC66" s="21"/>
      <c r="JD66" s="21"/>
      <c r="JE66" s="168">
        <v>2423041</v>
      </c>
      <c r="JF66" s="168">
        <v>2378845</v>
      </c>
      <c r="JG66" s="168">
        <v>17377</v>
      </c>
      <c r="JH66" s="168">
        <v>6500</v>
      </c>
      <c r="JI66" s="168">
        <v>48643452</v>
      </c>
      <c r="JJ66" s="168">
        <v>69876887</v>
      </c>
      <c r="JK66" s="168">
        <v>172723</v>
      </c>
      <c r="JL66" s="168">
        <v>255362</v>
      </c>
      <c r="JM66" s="168">
        <v>48618975</v>
      </c>
      <c r="JN66" s="168">
        <v>70755760</v>
      </c>
      <c r="JO66" s="168">
        <v>71412</v>
      </c>
      <c r="JP66" s="168">
        <v>92670</v>
      </c>
      <c r="JQ66" s="168">
        <v>648141</v>
      </c>
      <c r="JR66" s="168">
        <v>2401126</v>
      </c>
      <c r="JS66" s="168">
        <v>25209</v>
      </c>
      <c r="JT66" s="168">
        <v>28054</v>
      </c>
      <c r="JU66" s="21"/>
      <c r="JV66" s="21"/>
      <c r="JW66" s="168">
        <v>47876404</v>
      </c>
      <c r="JX66" s="168">
        <v>70460855</v>
      </c>
      <c r="JY66" s="21"/>
      <c r="JZ66" s="21"/>
      <c r="KA66" s="21"/>
      <c r="KB66" s="21"/>
      <c r="KC66" s="21"/>
      <c r="KD66" s="21"/>
      <c r="KE66" s="168">
        <v>357461</v>
      </c>
      <c r="KF66" s="168">
        <v>613100</v>
      </c>
      <c r="KG66" s="21"/>
      <c r="KH66" s="21"/>
      <c r="KI66" s="21"/>
      <c r="KJ66" s="21"/>
      <c r="KK66" s="21"/>
      <c r="KL66" s="21"/>
      <c r="KM66" s="21"/>
      <c r="KN66" s="21"/>
      <c r="KO66" s="21"/>
      <c r="KP66" s="21"/>
      <c r="KQ66" s="168">
        <v>35246</v>
      </c>
      <c r="KR66" s="168">
        <v>26810</v>
      </c>
      <c r="KS66" s="21"/>
      <c r="KT66" s="21"/>
      <c r="KU66" s="168">
        <v>7500961</v>
      </c>
      <c r="KV66" s="168">
        <v>7455839</v>
      </c>
      <c r="KW66" s="21"/>
      <c r="KX66" s="21"/>
      <c r="KY66" s="21"/>
      <c r="KZ66" s="21"/>
      <c r="LA66" s="168">
        <v>2173924</v>
      </c>
      <c r="LB66" s="168">
        <v>2206513</v>
      </c>
      <c r="LC66" s="21"/>
      <c r="LD66" s="21"/>
      <c r="LE66" s="21"/>
      <c r="LF66" s="21"/>
      <c r="LG66" s="21"/>
      <c r="LH66" s="21"/>
      <c r="LI66" s="168">
        <v>925135</v>
      </c>
      <c r="LJ66" s="168">
        <v>1451275</v>
      </c>
      <c r="LK66" s="168">
        <v>2167211</v>
      </c>
      <c r="LL66" s="168">
        <v>2670669</v>
      </c>
      <c r="LM66" s="168">
        <v>838129</v>
      </c>
      <c r="LN66" s="168">
        <v>648253</v>
      </c>
      <c r="LO66" s="21"/>
      <c r="LP66" s="21"/>
      <c r="LQ66" s="21"/>
      <c r="LR66" s="21"/>
      <c r="LS66" s="21"/>
      <c r="LT66" s="21"/>
      <c r="LU66" s="21"/>
      <c r="LV66" s="21"/>
      <c r="LW66" s="21"/>
      <c r="LX66" s="21"/>
      <c r="LY66" s="21"/>
      <c r="LZ66" s="21"/>
      <c r="MA66" s="168">
        <v>5539362</v>
      </c>
      <c r="MB66" s="168">
        <v>5773683</v>
      </c>
      <c r="MC66" s="21"/>
      <c r="MD66" s="21"/>
      <c r="ME66" s="21"/>
      <c r="MF66" s="21"/>
      <c r="MG66" s="21"/>
      <c r="MH66" s="21"/>
      <c r="MI66" s="21"/>
      <c r="MJ66" s="21"/>
      <c r="MK66" s="21"/>
      <c r="ML66" s="21"/>
      <c r="MM66" s="21"/>
      <c r="MN66" s="168">
        <v>14250</v>
      </c>
      <c r="MO66" s="168">
        <v>646685</v>
      </c>
      <c r="MP66" s="168">
        <v>655321</v>
      </c>
      <c r="MQ66" s="168">
        <v>102950</v>
      </c>
      <c r="MR66" s="168">
        <v>437000</v>
      </c>
      <c r="MS66" s="21"/>
      <c r="MT66" s="21"/>
      <c r="MU66" s="21"/>
      <c r="MV66" s="21"/>
      <c r="MW66" s="168">
        <v>2258723</v>
      </c>
      <c r="MX66" s="168">
        <v>2258723</v>
      </c>
      <c r="MY66" s="168">
        <v>3549272</v>
      </c>
      <c r="MZ66" s="168">
        <v>3249565</v>
      </c>
      <c r="NA66" s="168">
        <v>4326565</v>
      </c>
      <c r="NB66" s="168">
        <v>4167040</v>
      </c>
      <c r="NC66" s="168">
        <v>969322</v>
      </c>
      <c r="ND66" s="168">
        <v>683405</v>
      </c>
      <c r="NE66" s="21"/>
      <c r="NF66" s="21"/>
      <c r="NG66" s="168">
        <v>21205180</v>
      </c>
      <c r="NH66" s="168">
        <v>21505698</v>
      </c>
      <c r="NI66" s="21"/>
      <c r="NJ66" s="21"/>
      <c r="NK66" s="21"/>
      <c r="NL66" s="21"/>
      <c r="NM66" s="168">
        <v>9505083</v>
      </c>
      <c r="NN66" s="168">
        <v>10584940</v>
      </c>
      <c r="NO66" s="168">
        <v>31459898</v>
      </c>
      <c r="NP66" s="168">
        <v>33182959</v>
      </c>
      <c r="NQ66" s="168" t="s">
        <v>774</v>
      </c>
      <c r="NR66" s="168" t="s">
        <v>775</v>
      </c>
      <c r="NS66" s="168" t="s">
        <v>770</v>
      </c>
      <c r="NT66" s="168" t="s">
        <v>771</v>
      </c>
      <c r="NU66" s="168">
        <v>7801</v>
      </c>
      <c r="NV66" s="168" t="s">
        <v>2104</v>
      </c>
      <c r="NW66" s="168" t="s">
        <v>28</v>
      </c>
      <c r="NX66" s="168" t="s">
        <v>25</v>
      </c>
      <c r="NY66" s="169">
        <v>42916</v>
      </c>
      <c r="NZ66" s="169">
        <v>42551</v>
      </c>
      <c r="OA66" s="169">
        <v>43096</v>
      </c>
      <c r="OB66" s="168" t="s">
        <v>776</v>
      </c>
      <c r="OC66" s="168">
        <v>12</v>
      </c>
      <c r="OD66" s="168" t="s">
        <v>2105</v>
      </c>
      <c r="OE66" s="168" t="s">
        <v>2451</v>
      </c>
      <c r="OF66" s="168" t="s">
        <v>2107</v>
      </c>
      <c r="OG66" s="168" t="s">
        <v>1818</v>
      </c>
      <c r="OH66" s="168" t="s">
        <v>772</v>
      </c>
      <c r="OI66" s="168" t="s">
        <v>766</v>
      </c>
      <c r="OJ66" s="168" t="s">
        <v>3240</v>
      </c>
      <c r="OK66" s="168" t="s">
        <v>773</v>
      </c>
    </row>
    <row r="67" spans="1:401" x14ac:dyDescent="0.2">
      <c r="A67" s="170" t="str">
        <f>Liste[[#This Row],[Siren]]</f>
        <v>431236660</v>
      </c>
      <c r="B67" s="198" t="str">
        <f>Liste[[#This Row],[Dénomination]]&amp;" - comptes "&amp;YEAR(Liste[[#This Row],[Date de cloture de l''exercice]])</f>
        <v>FIVE - comptes 2017</v>
      </c>
      <c r="C67" s="21"/>
      <c r="D67" s="21"/>
      <c r="E67" s="21"/>
      <c r="F67" s="168">
        <v>728913</v>
      </c>
      <c r="G67" s="168">
        <v>440862</v>
      </c>
      <c r="H67" s="168">
        <v>728913</v>
      </c>
      <c r="I67" s="168">
        <v>3615138</v>
      </c>
      <c r="J67" s="168">
        <v>212397</v>
      </c>
      <c r="K67" s="168">
        <v>263735</v>
      </c>
      <c r="L67" s="168">
        <v>3827535</v>
      </c>
      <c r="M67" s="21"/>
      <c r="N67" s="168">
        <v>1673775</v>
      </c>
      <c r="O67" s="168">
        <v>1770504</v>
      </c>
      <c r="P67" s="168">
        <v>1673775</v>
      </c>
      <c r="Q67" s="168">
        <v>120218</v>
      </c>
      <c r="R67" s="168">
        <v>246449</v>
      </c>
      <c r="S67" s="168">
        <v>246449</v>
      </c>
      <c r="T67" s="168">
        <v>366667</v>
      </c>
      <c r="U67" s="21"/>
      <c r="V67" s="21"/>
      <c r="W67" s="21"/>
      <c r="X67" s="21"/>
      <c r="Y67" s="21"/>
      <c r="Z67" s="168">
        <v>490048</v>
      </c>
      <c r="AA67" s="168">
        <v>490048</v>
      </c>
      <c r="AB67" s="168">
        <v>490048</v>
      </c>
      <c r="AC67" s="21"/>
      <c r="AD67" s="21"/>
      <c r="AE67" s="21"/>
      <c r="AF67" s="21"/>
      <c r="AG67" s="21"/>
      <c r="AH67" s="21"/>
      <c r="AI67" s="21"/>
      <c r="AJ67" s="21"/>
      <c r="AK67" s="21"/>
      <c r="AL67" s="168">
        <v>21791</v>
      </c>
      <c r="AM67" s="168">
        <v>55925</v>
      </c>
      <c r="AN67" s="168">
        <v>21791</v>
      </c>
      <c r="AO67" s="21"/>
      <c r="AP67" s="21"/>
      <c r="AQ67" s="21"/>
      <c r="AR67" s="21"/>
      <c r="AS67" s="21"/>
      <c r="AT67" s="21"/>
      <c r="AU67" s="21"/>
      <c r="AV67" s="168">
        <v>186291</v>
      </c>
      <c r="AW67" s="168">
        <v>220949</v>
      </c>
      <c r="AX67" s="168">
        <v>186291</v>
      </c>
      <c r="AY67" s="21"/>
      <c r="AZ67" s="168">
        <v>241221</v>
      </c>
      <c r="BA67" s="168">
        <v>248914</v>
      </c>
      <c r="BB67" s="168">
        <v>241221</v>
      </c>
      <c r="BC67" s="168">
        <v>125526</v>
      </c>
      <c r="BD67" s="168">
        <v>6242077</v>
      </c>
      <c r="BE67" s="168">
        <v>10890459</v>
      </c>
      <c r="BF67" s="168">
        <v>6367603</v>
      </c>
      <c r="BG67" s="168">
        <v>1272174</v>
      </c>
      <c r="BH67" s="168">
        <v>370612</v>
      </c>
      <c r="BI67" s="168">
        <v>390630</v>
      </c>
      <c r="BJ67" s="168">
        <v>1642786</v>
      </c>
      <c r="BK67" s="168">
        <v>4764350</v>
      </c>
      <c r="BL67" s="168">
        <v>1306367</v>
      </c>
      <c r="BM67" s="168">
        <v>1434260</v>
      </c>
      <c r="BN67" s="168">
        <v>6070717</v>
      </c>
      <c r="BO67" s="21"/>
      <c r="BP67" s="21"/>
      <c r="BQ67" s="21"/>
      <c r="BR67" s="21"/>
      <c r="BS67" s="21"/>
      <c r="BT67" s="21"/>
      <c r="BU67" s="21"/>
      <c r="BV67" s="21"/>
      <c r="BW67" s="21"/>
      <c r="BX67" s="168">
        <v>4938019</v>
      </c>
      <c r="BY67" s="168">
        <v>3950090</v>
      </c>
      <c r="BZ67" s="168">
        <v>4938019</v>
      </c>
      <c r="CA67" s="168">
        <v>4</v>
      </c>
      <c r="CB67" s="168">
        <v>11536</v>
      </c>
      <c r="CC67" s="168">
        <v>4</v>
      </c>
      <c r="CD67" s="168">
        <v>3038658</v>
      </c>
      <c r="CE67" s="21"/>
      <c r="CF67" s="21"/>
      <c r="CG67" s="168">
        <v>3038658</v>
      </c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168">
        <v>61589</v>
      </c>
      <c r="DD67" s="168">
        <v>61589</v>
      </c>
      <c r="DE67" s="168">
        <v>61589</v>
      </c>
      <c r="DF67" s="168">
        <v>1032683</v>
      </c>
      <c r="DG67" s="168">
        <v>80323</v>
      </c>
      <c r="DH67" s="168">
        <v>85796</v>
      </c>
      <c r="DI67" s="168">
        <v>1113006</v>
      </c>
      <c r="DJ67" s="168">
        <v>3774</v>
      </c>
      <c r="DK67" s="168">
        <v>7454724</v>
      </c>
      <c r="DL67" s="168">
        <v>7433249</v>
      </c>
      <c r="DM67" s="168">
        <v>7458498</v>
      </c>
      <c r="DN67" s="21"/>
      <c r="DO67" s="21"/>
      <c r="DP67" s="21"/>
      <c r="DQ67" s="21"/>
      <c r="DR67" s="21"/>
      <c r="DS67" s="21"/>
      <c r="DT67" s="21"/>
      <c r="DU67" s="21"/>
      <c r="DV67" s="21"/>
      <c r="DW67" s="168">
        <v>154833</v>
      </c>
      <c r="DX67" s="168">
        <v>10878</v>
      </c>
      <c r="DY67" s="168">
        <v>154833</v>
      </c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168">
        <v>13843221</v>
      </c>
      <c r="EL67" s="168">
        <v>4647856</v>
      </c>
      <c r="EM67" s="168">
        <v>4805352</v>
      </c>
      <c r="EN67" s="168">
        <v>18491077</v>
      </c>
      <c r="EO67" s="168">
        <v>129300</v>
      </c>
      <c r="EP67" s="168">
        <v>20940663</v>
      </c>
      <c r="EQ67" s="168">
        <v>24204735</v>
      </c>
      <c r="ER67" s="168">
        <v>21069963</v>
      </c>
      <c r="ES67" s="168">
        <v>13972521</v>
      </c>
      <c r="ET67" s="168">
        <v>25774814</v>
      </c>
      <c r="EU67" s="168">
        <v>29242572</v>
      </c>
      <c r="EV67" s="168">
        <v>39747335</v>
      </c>
      <c r="EW67" s="21"/>
      <c r="EX67" s="168">
        <v>51463</v>
      </c>
      <c r="EY67" s="168">
        <v>51463</v>
      </c>
      <c r="EZ67" s="168">
        <v>51463</v>
      </c>
      <c r="FA67" s="21"/>
      <c r="FB67" s="21"/>
      <c r="FC67" s="21"/>
      <c r="FD67" s="21"/>
      <c r="FE67" s="21"/>
      <c r="FF67" s="21"/>
      <c r="FG67" s="21"/>
      <c r="FH67" s="21"/>
      <c r="FI67" s="168">
        <v>-48599</v>
      </c>
      <c r="FJ67" s="168">
        <v>-46792</v>
      </c>
      <c r="FK67" s="168">
        <v>799446</v>
      </c>
      <c r="FL67" s="168">
        <v>1405050</v>
      </c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168">
        <v>272261</v>
      </c>
      <c r="FX67" s="168">
        <v>373398</v>
      </c>
      <c r="FY67" s="168">
        <v>6751</v>
      </c>
      <c r="FZ67" s="168">
        <v>9910</v>
      </c>
      <c r="GA67" s="21"/>
      <c r="GB67" s="21"/>
      <c r="GC67" s="21"/>
      <c r="GD67" s="21"/>
      <c r="GE67" s="21"/>
      <c r="GF67" s="21"/>
      <c r="GG67" s="21"/>
      <c r="GH67" s="21"/>
      <c r="GI67" s="21"/>
      <c r="GJ67" s="21"/>
      <c r="GK67" s="21"/>
      <c r="GL67" s="21"/>
      <c r="GM67" s="168">
        <v>799446</v>
      </c>
      <c r="GN67" s="168">
        <v>1405050</v>
      </c>
      <c r="GO67" s="21"/>
      <c r="GP67" s="21"/>
      <c r="GQ67" s="21"/>
      <c r="GR67" s="21"/>
      <c r="GS67" s="168">
        <v>792695</v>
      </c>
      <c r="GT67" s="168">
        <v>1395140</v>
      </c>
      <c r="GU67" s="168">
        <v>67856</v>
      </c>
      <c r="GV67" s="168">
        <v>85559</v>
      </c>
      <c r="GW67" s="168">
        <v>19257</v>
      </c>
      <c r="GX67" s="168">
        <v>38767</v>
      </c>
      <c r="GY67" s="21"/>
      <c r="GZ67" s="21"/>
      <c r="HA67" s="21"/>
      <c r="HB67" s="21"/>
      <c r="HC67" s="168">
        <v>3212528</v>
      </c>
      <c r="HD67" s="168">
        <v>2754210</v>
      </c>
      <c r="HE67" s="168">
        <v>66940</v>
      </c>
      <c r="HF67" s="168">
        <v>11777</v>
      </c>
      <c r="HG67" s="21"/>
      <c r="HH67" s="21"/>
      <c r="HI67" s="168">
        <v>361204</v>
      </c>
      <c r="HJ67" s="168">
        <v>685464</v>
      </c>
      <c r="HK67" s="21"/>
      <c r="HL67" s="21"/>
      <c r="HM67" s="21"/>
      <c r="HN67" s="21"/>
      <c r="HO67" s="168">
        <v>1183072</v>
      </c>
      <c r="HP67" s="21"/>
      <c r="HQ67" s="21"/>
      <c r="HR67" s="21"/>
      <c r="HS67" s="21"/>
      <c r="HT67" s="21"/>
      <c r="HU67" s="168">
        <v>306657</v>
      </c>
      <c r="HV67" s="168">
        <v>370570</v>
      </c>
      <c r="HW67" s="21"/>
      <c r="HX67" s="21"/>
      <c r="HY67" s="168">
        <v>167340</v>
      </c>
      <c r="HZ67" s="168">
        <v>219953</v>
      </c>
      <c r="IA67" s="168">
        <v>79148</v>
      </c>
      <c r="IB67" s="168">
        <v>116627</v>
      </c>
      <c r="IC67" s="21"/>
      <c r="ID67" s="21"/>
      <c r="IE67" s="168">
        <v>230030</v>
      </c>
      <c r="IF67" s="168">
        <v>515084</v>
      </c>
      <c r="IG67" s="21"/>
      <c r="IH67" s="21"/>
      <c r="II67" s="21"/>
      <c r="IJ67" s="21"/>
      <c r="IK67" s="21"/>
      <c r="IL67" s="21"/>
      <c r="IM67" s="21"/>
      <c r="IN67" s="21"/>
      <c r="IO67" s="21"/>
      <c r="IP67" s="21"/>
      <c r="IQ67" s="21"/>
      <c r="IR67" s="21"/>
      <c r="IS67" s="21"/>
      <c r="IT67" s="21"/>
      <c r="IU67" s="168">
        <v>1120306</v>
      </c>
      <c r="IV67" s="168">
        <v>1825240</v>
      </c>
      <c r="IW67" s="168">
        <v>1795193</v>
      </c>
      <c r="IX67" s="168">
        <v>2527258</v>
      </c>
      <c r="IY67" s="168">
        <v>-674887</v>
      </c>
      <c r="IZ67" s="168">
        <v>-702018</v>
      </c>
      <c r="JA67" s="168">
        <v>429479</v>
      </c>
      <c r="JB67" s="168">
        <v>410749</v>
      </c>
      <c r="JC67" s="21"/>
      <c r="JD67" s="21"/>
      <c r="JE67" s="168">
        <v>2732959</v>
      </c>
      <c r="JF67" s="168">
        <v>3955618</v>
      </c>
      <c r="JG67" s="21"/>
      <c r="JH67" s="21"/>
      <c r="JI67" s="168">
        <v>36804736</v>
      </c>
      <c r="JJ67" s="168">
        <v>38218902</v>
      </c>
      <c r="JK67" s="168">
        <v>1118684</v>
      </c>
      <c r="JL67" s="168">
        <v>1299959</v>
      </c>
      <c r="JM67" s="168">
        <v>38599929</v>
      </c>
      <c r="JN67" s="168">
        <v>40746160</v>
      </c>
      <c r="JO67" s="168">
        <v>443797</v>
      </c>
      <c r="JP67" s="168">
        <v>597941</v>
      </c>
      <c r="JQ67" s="21"/>
      <c r="JR67" s="21"/>
      <c r="JS67" s="21"/>
      <c r="JT67" s="21"/>
      <c r="JU67" s="21"/>
      <c r="JV67" s="21"/>
      <c r="JW67" s="168">
        <v>37809246</v>
      </c>
      <c r="JX67" s="168">
        <v>39649947</v>
      </c>
      <c r="JY67" s="21"/>
      <c r="JZ67" s="21"/>
      <c r="KA67" s="21"/>
      <c r="KB67" s="21"/>
      <c r="KC67" s="21"/>
      <c r="KD67" s="21"/>
      <c r="KE67" s="21"/>
      <c r="KF67" s="21"/>
      <c r="KG67" s="21"/>
      <c r="KH67" s="21"/>
      <c r="KI67" s="168">
        <v>37136115</v>
      </c>
      <c r="KJ67" s="168">
        <v>39327747</v>
      </c>
      <c r="KK67" s="21"/>
      <c r="KL67" s="21"/>
      <c r="KM67" s="21"/>
      <c r="KN67" s="21"/>
      <c r="KO67" s="21"/>
      <c r="KP67" s="21"/>
      <c r="KQ67" s="168">
        <v>107812</v>
      </c>
      <c r="KR67" s="168">
        <v>103332</v>
      </c>
      <c r="KS67" s="21"/>
      <c r="KT67" s="21"/>
      <c r="KU67" s="21"/>
      <c r="KV67" s="21"/>
      <c r="KW67" s="21"/>
      <c r="KX67" s="21"/>
      <c r="KY67" s="168">
        <v>712314</v>
      </c>
      <c r="KZ67" s="168">
        <v>900401</v>
      </c>
      <c r="LA67" s="168">
        <v>10000000</v>
      </c>
      <c r="LB67" s="168">
        <v>10000000</v>
      </c>
      <c r="LC67" s="168">
        <v>48878</v>
      </c>
      <c r="LD67" s="168">
        <v>41196</v>
      </c>
      <c r="LE67" s="168">
        <v>6751</v>
      </c>
      <c r="LF67" s="168">
        <v>9910</v>
      </c>
      <c r="LG67" s="21"/>
      <c r="LH67" s="21"/>
      <c r="LI67" s="168">
        <v>1466023</v>
      </c>
      <c r="LJ67" s="168">
        <v>2084677</v>
      </c>
      <c r="LK67" s="168">
        <v>7138992</v>
      </c>
      <c r="LL67" s="168">
        <v>9205386</v>
      </c>
      <c r="LM67" s="21"/>
      <c r="LN67" s="21"/>
      <c r="LO67" s="21"/>
      <c r="LP67" s="21"/>
      <c r="LQ67" s="21"/>
      <c r="LR67" s="21"/>
      <c r="LS67" s="21"/>
      <c r="LT67" s="21"/>
      <c r="LU67" s="21"/>
      <c r="LV67" s="21"/>
      <c r="LW67" s="21"/>
      <c r="LX67" s="21"/>
      <c r="LY67" s="21"/>
      <c r="LZ67" s="21"/>
      <c r="MA67" s="21"/>
      <c r="MB67" s="21"/>
      <c r="MC67" s="168">
        <v>8581626</v>
      </c>
      <c r="MD67" s="168">
        <v>9915189</v>
      </c>
      <c r="ME67" s="21"/>
      <c r="MF67" s="21"/>
      <c r="MG67" s="21"/>
      <c r="MH67" s="168">
        <v>4432</v>
      </c>
      <c r="MI67" s="21"/>
      <c r="MJ67" s="21"/>
      <c r="MK67" s="21"/>
      <c r="ML67" s="21"/>
      <c r="MM67" s="168">
        <v>267594</v>
      </c>
      <c r="MN67" s="168">
        <v>49310</v>
      </c>
      <c r="MO67" s="168">
        <v>747155</v>
      </c>
      <c r="MP67" s="168">
        <v>759965</v>
      </c>
      <c r="MQ67" s="168">
        <v>698</v>
      </c>
      <c r="MR67" s="168">
        <v>12859</v>
      </c>
      <c r="MS67" s="21"/>
      <c r="MT67" s="21"/>
      <c r="MU67" s="21"/>
      <c r="MV67" s="21"/>
      <c r="MW67" s="21"/>
      <c r="MX67" s="21"/>
      <c r="MY67" s="21"/>
      <c r="MZ67" s="21"/>
      <c r="NA67" s="21"/>
      <c r="NB67" s="21"/>
      <c r="NC67" s="168">
        <v>792695</v>
      </c>
      <c r="ND67" s="168">
        <v>1395140</v>
      </c>
      <c r="NE67" s="21"/>
      <c r="NF67" s="21"/>
      <c r="NG67" s="168">
        <v>6658946</v>
      </c>
      <c r="NH67" s="168">
        <v>6071477</v>
      </c>
      <c r="NI67" s="21"/>
      <c r="NJ67" s="21"/>
      <c r="NK67" s="168">
        <v>6714575</v>
      </c>
      <c r="NL67" s="168">
        <v>6122583</v>
      </c>
      <c r="NM67" s="168">
        <v>18312386</v>
      </c>
      <c r="NN67" s="168">
        <v>22342733</v>
      </c>
      <c r="NO67" s="168">
        <v>25774814</v>
      </c>
      <c r="NP67" s="168">
        <v>29242572</v>
      </c>
      <c r="NQ67" s="168" t="s">
        <v>786</v>
      </c>
      <c r="NR67" s="168" t="s">
        <v>769</v>
      </c>
      <c r="NS67" s="168" t="s">
        <v>770</v>
      </c>
      <c r="NT67" s="168" t="s">
        <v>771</v>
      </c>
      <c r="NU67" s="168">
        <v>9301</v>
      </c>
      <c r="NV67" s="168" t="s">
        <v>2104</v>
      </c>
      <c r="NW67" s="168" t="s">
        <v>28</v>
      </c>
      <c r="NX67" s="168" t="s">
        <v>25</v>
      </c>
      <c r="NY67" s="169">
        <v>42916</v>
      </c>
      <c r="NZ67" s="169">
        <v>42551</v>
      </c>
      <c r="OA67" s="169">
        <v>43112</v>
      </c>
      <c r="OB67" s="168" t="s">
        <v>3403</v>
      </c>
      <c r="OC67" s="168">
        <v>12</v>
      </c>
      <c r="OD67" s="168" t="s">
        <v>2105</v>
      </c>
      <c r="OE67" s="168" t="s">
        <v>2234</v>
      </c>
      <c r="OF67" s="168" t="s">
        <v>3404</v>
      </c>
      <c r="OG67" s="168" t="s">
        <v>3405</v>
      </c>
      <c r="OH67" s="168" t="s">
        <v>785</v>
      </c>
      <c r="OI67" s="168" t="s">
        <v>766</v>
      </c>
      <c r="OJ67" s="168" t="s">
        <v>3240</v>
      </c>
      <c r="OK67" s="168" t="s">
        <v>767</v>
      </c>
    </row>
    <row r="68" spans="1:401" x14ac:dyDescent="0.2">
      <c r="A68" s="170" t="str">
        <f>Liste[[#This Row],[Siren]]</f>
        <v>383699048</v>
      </c>
      <c r="B68" s="198" t="str">
        <f>Liste[[#This Row],[Dénomination]]&amp;" - comptes "&amp;YEAR(Liste[[#This Row],[Date de cloture de l''exercice]])</f>
        <v>RAMSAY GENERALE DE SANTE - comptes 2017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168">
        <v>23100000</v>
      </c>
      <c r="S68" s="168">
        <v>27300000</v>
      </c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168">
        <v>727100000</v>
      </c>
      <c r="EI68" s="168">
        <v>741200000</v>
      </c>
      <c r="EJ68" s="21"/>
      <c r="EK68" s="21"/>
      <c r="EL68" s="168">
        <v>1711500000</v>
      </c>
      <c r="EM68" s="168">
        <v>1788200000</v>
      </c>
      <c r="EN68" s="21"/>
      <c r="EO68" s="21"/>
      <c r="EP68" s="168">
        <v>634200000</v>
      </c>
      <c r="EQ68" s="168">
        <v>565600000</v>
      </c>
      <c r="ER68" s="21"/>
      <c r="ES68" s="21"/>
      <c r="ET68" s="168">
        <v>2345700000</v>
      </c>
      <c r="EU68" s="168">
        <v>2353800000</v>
      </c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168">
        <v>64900000</v>
      </c>
      <c r="FL68" s="168">
        <v>42200000</v>
      </c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168">
        <v>7900000</v>
      </c>
      <c r="FZ68" s="168">
        <v>5300000</v>
      </c>
      <c r="GA68" s="21"/>
      <c r="GB68" s="21"/>
      <c r="GC68" s="21"/>
      <c r="GD68" s="21"/>
      <c r="GE68" s="21"/>
      <c r="GF68" s="21"/>
      <c r="GG68" s="21"/>
      <c r="GH68" s="21"/>
      <c r="GI68" s="21"/>
      <c r="GJ68" s="21"/>
      <c r="GK68" s="21"/>
      <c r="GL68" s="21"/>
      <c r="GM68" s="168">
        <v>64900000</v>
      </c>
      <c r="GN68" s="168">
        <v>42200000</v>
      </c>
      <c r="GO68" s="21"/>
      <c r="GP68" s="21"/>
      <c r="GQ68" s="21"/>
      <c r="GR68" s="21"/>
      <c r="GS68" s="168">
        <v>57000000</v>
      </c>
      <c r="GT68" s="168">
        <v>36900000</v>
      </c>
      <c r="GU68" s="21"/>
      <c r="GV68" s="21"/>
      <c r="GW68" s="21"/>
      <c r="GX68" s="21"/>
      <c r="GY68" s="21"/>
      <c r="GZ68" s="21"/>
      <c r="HA68" s="21"/>
      <c r="HB68" s="21"/>
      <c r="HC68" s="21"/>
      <c r="HD68" s="21"/>
      <c r="HE68" s="21"/>
      <c r="HF68" s="21"/>
      <c r="HG68" s="21"/>
      <c r="HH68" s="21"/>
      <c r="HI68" s="21"/>
      <c r="HJ68" s="21"/>
      <c r="HK68" s="21"/>
      <c r="HL68" s="21"/>
      <c r="HM68" s="21"/>
      <c r="HN68" s="21"/>
      <c r="HO68" s="21"/>
      <c r="HP68" s="21"/>
      <c r="HQ68" s="21"/>
      <c r="HR68" s="21"/>
      <c r="HS68" s="21"/>
      <c r="HT68" s="21"/>
      <c r="HU68" s="21"/>
      <c r="HV68" s="21"/>
      <c r="HW68" s="21"/>
      <c r="HX68" s="21"/>
      <c r="HY68" s="21"/>
      <c r="HZ68" s="21"/>
      <c r="IA68" s="21"/>
      <c r="IB68" s="21"/>
      <c r="IC68" s="21"/>
      <c r="ID68" s="21"/>
      <c r="IE68" s="168">
        <v>95000000</v>
      </c>
      <c r="IF68" s="168">
        <v>92600000</v>
      </c>
      <c r="IG68" s="21"/>
      <c r="IH68" s="21"/>
      <c r="II68" s="21"/>
      <c r="IJ68" s="21"/>
      <c r="IK68" s="21"/>
      <c r="IL68" s="21"/>
      <c r="IM68" s="21"/>
      <c r="IN68" s="21"/>
      <c r="IO68" s="21"/>
      <c r="IP68" s="21"/>
      <c r="IQ68" s="21"/>
      <c r="IR68" s="21"/>
      <c r="IS68" s="21"/>
      <c r="IT68" s="21"/>
      <c r="IU68" s="21"/>
      <c r="IV68" s="21"/>
      <c r="IW68" s="21"/>
      <c r="IX68" s="21"/>
      <c r="IY68" s="21"/>
      <c r="IZ68" s="21"/>
      <c r="JA68" s="21"/>
      <c r="JB68" s="21"/>
      <c r="JC68" s="21"/>
      <c r="JD68" s="21"/>
      <c r="JE68" s="21"/>
      <c r="JF68" s="21"/>
      <c r="JG68" s="21"/>
      <c r="JH68" s="21"/>
      <c r="JI68" s="21"/>
      <c r="JJ68" s="21"/>
      <c r="JK68" s="21"/>
      <c r="JL68" s="21"/>
      <c r="JM68" s="168">
        <v>2234400000</v>
      </c>
      <c r="JN68" s="168">
        <v>2226900000</v>
      </c>
      <c r="JO68" s="21"/>
      <c r="JP68" s="21"/>
      <c r="JQ68" s="21"/>
      <c r="JR68" s="21"/>
      <c r="JS68" s="21"/>
      <c r="JT68" s="21"/>
      <c r="JU68" s="21"/>
      <c r="JV68" s="21"/>
      <c r="JW68" s="168">
        <v>2234400000</v>
      </c>
      <c r="JX68" s="168">
        <v>2226900000</v>
      </c>
      <c r="JY68" s="21"/>
      <c r="JZ68" s="21"/>
      <c r="KA68" s="21"/>
      <c r="KB68" s="21"/>
      <c r="KC68" s="21"/>
      <c r="KD68" s="21"/>
      <c r="KE68" s="21"/>
      <c r="KF68" s="21"/>
      <c r="KG68" s="21"/>
      <c r="KH68" s="21"/>
      <c r="KI68" s="21"/>
      <c r="KJ68" s="21"/>
      <c r="KK68" s="21"/>
      <c r="KL68" s="21"/>
      <c r="KM68" s="21"/>
      <c r="KN68" s="21"/>
      <c r="KO68" s="21"/>
      <c r="KP68" s="21"/>
      <c r="KQ68" s="21"/>
      <c r="KR68" s="21"/>
      <c r="KS68" s="21"/>
      <c r="KT68" s="21"/>
      <c r="KU68" s="21"/>
      <c r="KV68" s="21"/>
      <c r="KW68" s="21"/>
      <c r="KX68" s="21"/>
      <c r="KY68" s="21"/>
      <c r="KZ68" s="21"/>
      <c r="LA68" s="168">
        <v>56900000</v>
      </c>
      <c r="LB68" s="168">
        <v>56900000</v>
      </c>
      <c r="LC68" s="21"/>
      <c r="LD68" s="21"/>
      <c r="LE68" s="21"/>
      <c r="LF68" s="21"/>
      <c r="LG68" s="21"/>
      <c r="LH68" s="21"/>
      <c r="LI68" s="21"/>
      <c r="LJ68" s="21"/>
      <c r="LK68" s="21"/>
      <c r="LL68" s="21"/>
      <c r="LM68" s="21"/>
      <c r="LN68" s="21"/>
      <c r="LO68" s="21"/>
      <c r="LP68" s="21"/>
      <c r="LQ68" s="21"/>
      <c r="LR68" s="21"/>
      <c r="LS68" s="21"/>
      <c r="LT68" s="21"/>
      <c r="LU68" s="21"/>
      <c r="LV68" s="21"/>
      <c r="LW68" s="21"/>
      <c r="LX68" s="21"/>
      <c r="LY68" s="21"/>
      <c r="LZ68" s="21"/>
      <c r="MA68" s="168">
        <v>1099800000</v>
      </c>
      <c r="MB68" s="168">
        <v>1110000000</v>
      </c>
      <c r="MC68" s="21"/>
      <c r="MD68" s="21"/>
      <c r="ME68" s="21"/>
      <c r="MF68" s="21"/>
      <c r="MG68" s="168">
        <v>56300000</v>
      </c>
      <c r="MH68" s="168">
        <v>81000000</v>
      </c>
      <c r="MI68" s="168">
        <v>71200000</v>
      </c>
      <c r="MJ68" s="168">
        <v>71200000</v>
      </c>
      <c r="MK68" s="21"/>
      <c r="ML68" s="21"/>
      <c r="MM68" s="21"/>
      <c r="MN68" s="21"/>
      <c r="MO68" s="21"/>
      <c r="MP68" s="21"/>
      <c r="MQ68" s="21"/>
      <c r="MR68" s="21"/>
      <c r="MS68" s="21"/>
      <c r="MT68" s="21"/>
      <c r="MU68" s="21"/>
      <c r="MV68" s="21"/>
      <c r="MW68" s="21"/>
      <c r="MX68" s="21"/>
      <c r="MY68" s="21"/>
      <c r="MZ68" s="21"/>
      <c r="NA68" s="21"/>
      <c r="NB68" s="21"/>
      <c r="NC68" s="168">
        <v>57000000</v>
      </c>
      <c r="ND68" s="168">
        <v>36900000</v>
      </c>
      <c r="NE68" s="21"/>
      <c r="NF68" s="21"/>
      <c r="NG68" s="168">
        <v>462000000</v>
      </c>
      <c r="NH68" s="168">
        <v>401400000</v>
      </c>
      <c r="NI68" s="21"/>
      <c r="NJ68" s="21"/>
      <c r="NK68" s="168">
        <v>40000000</v>
      </c>
      <c r="NL68" s="168">
        <v>36400000</v>
      </c>
      <c r="NM68" s="168">
        <v>594600000</v>
      </c>
      <c r="NN68" s="168">
        <v>594600000</v>
      </c>
      <c r="NO68" s="168">
        <v>2345700000</v>
      </c>
      <c r="NP68" s="168">
        <v>2353800000</v>
      </c>
      <c r="NQ68" s="168" t="s">
        <v>792</v>
      </c>
      <c r="NR68" s="168" t="s">
        <v>802</v>
      </c>
      <c r="NS68" s="168" t="s">
        <v>770</v>
      </c>
      <c r="NT68" s="168" t="s">
        <v>771</v>
      </c>
      <c r="NU68" s="168">
        <v>7501</v>
      </c>
      <c r="NV68" s="168" t="s">
        <v>2104</v>
      </c>
      <c r="NW68" s="168" t="s">
        <v>28</v>
      </c>
      <c r="NX68" s="168" t="s">
        <v>25</v>
      </c>
      <c r="NY68" s="169">
        <v>42916</v>
      </c>
      <c r="NZ68" s="169">
        <v>42551</v>
      </c>
      <c r="OA68" s="169">
        <v>43112</v>
      </c>
      <c r="OB68" s="168" t="s">
        <v>1018</v>
      </c>
      <c r="OC68" s="168">
        <v>12</v>
      </c>
      <c r="OD68" s="168" t="s">
        <v>2106</v>
      </c>
      <c r="OE68" s="168" t="s">
        <v>3409</v>
      </c>
      <c r="OF68" s="168" t="s">
        <v>2221</v>
      </c>
      <c r="OG68" s="168" t="s">
        <v>1848</v>
      </c>
      <c r="OH68" s="168" t="s">
        <v>765</v>
      </c>
      <c r="OI68" s="168" t="s">
        <v>766</v>
      </c>
      <c r="OJ68" s="168" t="s">
        <v>3240</v>
      </c>
      <c r="OK68" s="168" t="s">
        <v>801</v>
      </c>
    </row>
    <row r="69" spans="1:401" x14ac:dyDescent="0.2">
      <c r="A69" s="170" t="str">
        <f>Liste[[#This Row],[Siren]]</f>
        <v>332899731</v>
      </c>
      <c r="B69" s="198" t="str">
        <f>Liste[[#This Row],[Dénomination]]&amp;" - comptes "&amp;YEAR(Liste[[#This Row],[Date de cloture de l''exercice]])</f>
        <v>RIP CURL EUROPE - comptes 2017</v>
      </c>
      <c r="C69" s="21"/>
      <c r="D69" s="21"/>
      <c r="E69" s="21"/>
      <c r="F69" s="168">
        <v>7421000</v>
      </c>
      <c r="G69" s="168">
        <v>3474000</v>
      </c>
      <c r="H69" s="168">
        <v>7421000</v>
      </c>
      <c r="I69" s="168">
        <v>6807000</v>
      </c>
      <c r="J69" s="168">
        <v>1917000</v>
      </c>
      <c r="K69" s="168">
        <v>735000</v>
      </c>
      <c r="L69" s="168">
        <v>8724000</v>
      </c>
      <c r="M69" s="21"/>
      <c r="N69" s="168">
        <v>12856000</v>
      </c>
      <c r="O69" s="168">
        <v>14394000</v>
      </c>
      <c r="P69" s="168">
        <v>12856000</v>
      </c>
      <c r="Q69" s="168">
        <v>71000</v>
      </c>
      <c r="R69" s="21"/>
      <c r="S69" s="21"/>
      <c r="T69" s="168">
        <v>71000</v>
      </c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168">
        <v>853000</v>
      </c>
      <c r="BA69" s="168">
        <v>843000</v>
      </c>
      <c r="BB69" s="168">
        <v>853000</v>
      </c>
      <c r="BC69" s="168">
        <v>2253000</v>
      </c>
      <c r="BD69" s="168">
        <v>12824000</v>
      </c>
      <c r="BE69" s="168">
        <v>14871000</v>
      </c>
      <c r="BF69" s="168">
        <v>15077000</v>
      </c>
      <c r="BG69" s="168">
        <v>1450000</v>
      </c>
      <c r="BH69" s="168">
        <v>92000</v>
      </c>
      <c r="BI69" s="168">
        <v>89000</v>
      </c>
      <c r="BJ69" s="168">
        <v>1542000</v>
      </c>
      <c r="BK69" s="168">
        <v>731000</v>
      </c>
      <c r="BL69" s="168">
        <v>1654000</v>
      </c>
      <c r="BM69" s="168">
        <v>359000</v>
      </c>
      <c r="BN69" s="168">
        <v>2385000</v>
      </c>
      <c r="BO69" s="21"/>
      <c r="BP69" s="21"/>
      <c r="BQ69" s="21"/>
      <c r="BR69" s="21"/>
      <c r="BS69" s="21"/>
      <c r="BT69" s="21"/>
      <c r="BU69" s="21"/>
      <c r="BV69" s="21"/>
      <c r="BW69" s="21"/>
      <c r="BX69" s="168">
        <v>2409000</v>
      </c>
      <c r="BY69" s="168">
        <v>4399000</v>
      </c>
      <c r="BZ69" s="168">
        <v>2409000</v>
      </c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168">
        <v>391000</v>
      </c>
      <c r="CR69" s="168">
        <v>543000</v>
      </c>
      <c r="CS69" s="168">
        <v>391000</v>
      </c>
      <c r="CT69" s="168">
        <v>4000</v>
      </c>
      <c r="CU69" s="21"/>
      <c r="CV69" s="21"/>
      <c r="CW69" s="168">
        <v>4000</v>
      </c>
      <c r="CX69" s="21"/>
      <c r="CY69" s="21"/>
      <c r="CZ69" s="21"/>
      <c r="DA69" s="21"/>
      <c r="DB69" s="21"/>
      <c r="DC69" s="168">
        <v>161000</v>
      </c>
      <c r="DD69" s="168">
        <v>1460000</v>
      </c>
      <c r="DE69" s="168">
        <v>161000</v>
      </c>
      <c r="DF69" s="168">
        <v>1746000</v>
      </c>
      <c r="DG69" s="168">
        <v>145000</v>
      </c>
      <c r="DH69" s="168">
        <v>294000</v>
      </c>
      <c r="DI69" s="168">
        <v>1891000</v>
      </c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168">
        <v>11154000</v>
      </c>
      <c r="EL69" s="168">
        <v>19513000</v>
      </c>
      <c r="EM69" s="168">
        <v>19855000</v>
      </c>
      <c r="EN69" s="168">
        <v>30667000</v>
      </c>
      <c r="EO69" s="168">
        <v>2438000</v>
      </c>
      <c r="EP69" s="168">
        <v>34456000</v>
      </c>
      <c r="EQ69" s="168">
        <v>34668000</v>
      </c>
      <c r="ER69" s="168">
        <v>36894000</v>
      </c>
      <c r="ES69" s="168">
        <v>13592000</v>
      </c>
      <c r="ET69" s="168">
        <v>53969000</v>
      </c>
      <c r="EU69" s="168">
        <v>54523000</v>
      </c>
      <c r="EV69" s="168">
        <v>67561000</v>
      </c>
      <c r="EW69" s="21"/>
      <c r="EX69" s="168">
        <v>73000</v>
      </c>
      <c r="EY69" s="168">
        <v>73000</v>
      </c>
      <c r="EZ69" s="168">
        <v>73000</v>
      </c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168">
        <v>659000</v>
      </c>
      <c r="FX69" s="168">
        <v>49000</v>
      </c>
      <c r="FY69" s="168">
        <v>3000</v>
      </c>
      <c r="FZ69" s="168">
        <v>-4000</v>
      </c>
      <c r="GA69" s="21"/>
      <c r="GB69" s="21"/>
      <c r="GC69" s="21"/>
      <c r="GD69" s="21"/>
      <c r="GE69" s="21"/>
      <c r="GF69" s="21"/>
      <c r="GG69" s="21"/>
      <c r="GH69" s="21"/>
      <c r="GI69" s="21"/>
      <c r="GJ69" s="21"/>
      <c r="GK69" s="21"/>
      <c r="GL69" s="21"/>
      <c r="GM69" s="168">
        <v>-258000</v>
      </c>
      <c r="GN69" s="168">
        <v>-98000</v>
      </c>
      <c r="GO69" s="168">
        <v>-261000</v>
      </c>
      <c r="GP69" s="168">
        <v>-94000</v>
      </c>
      <c r="GQ69" s="21"/>
      <c r="GR69" s="21"/>
      <c r="GS69" s="168">
        <v>-261000</v>
      </c>
      <c r="GT69" s="168">
        <v>-94000</v>
      </c>
      <c r="GU69" s="21"/>
      <c r="GV69" s="21"/>
      <c r="GW69" s="21"/>
      <c r="GX69" s="21"/>
      <c r="GY69" s="21"/>
      <c r="GZ69" s="21"/>
      <c r="HA69" s="21"/>
      <c r="HB69" s="21"/>
      <c r="HC69" s="21"/>
      <c r="HD69" s="21"/>
      <c r="HE69" s="168">
        <v>2780000</v>
      </c>
      <c r="HF69" s="168">
        <v>3119000</v>
      </c>
      <c r="HG69" s="21"/>
      <c r="HH69" s="21"/>
      <c r="HI69" s="168">
        <v>1159000</v>
      </c>
      <c r="HJ69" s="168">
        <v>750000</v>
      </c>
      <c r="HK69" s="21"/>
      <c r="HL69" s="21"/>
      <c r="HM69" s="21"/>
      <c r="HN69" s="21"/>
      <c r="HO69" s="21"/>
      <c r="HP69" s="21"/>
      <c r="HQ69" s="21"/>
      <c r="HR69" s="21"/>
      <c r="HS69" s="21"/>
      <c r="HT69" s="21"/>
      <c r="HU69" s="168">
        <v>773000</v>
      </c>
      <c r="HV69" s="168">
        <v>891000</v>
      </c>
      <c r="HW69" s="168">
        <v>954000</v>
      </c>
      <c r="HX69" s="168">
        <v>304000</v>
      </c>
      <c r="HY69" s="21"/>
      <c r="HZ69" s="21"/>
      <c r="IA69" s="21"/>
      <c r="IB69" s="21"/>
      <c r="IC69" s="21"/>
      <c r="ID69" s="21"/>
      <c r="IE69" s="168">
        <v>931000</v>
      </c>
      <c r="IF69" s="168">
        <v>1284000</v>
      </c>
      <c r="IG69" s="21"/>
      <c r="IH69" s="21"/>
      <c r="II69" s="21"/>
      <c r="IJ69" s="21"/>
      <c r="IK69" s="21"/>
      <c r="IL69" s="21"/>
      <c r="IM69" s="168">
        <v>10000</v>
      </c>
      <c r="IN69" s="168">
        <v>-4000</v>
      </c>
      <c r="IO69" s="21"/>
      <c r="IP69" s="21"/>
      <c r="IQ69" s="21"/>
      <c r="IR69" s="21"/>
      <c r="IS69" s="21"/>
      <c r="IT69" s="21"/>
      <c r="IU69" s="168">
        <v>636000</v>
      </c>
      <c r="IV69" s="168">
        <v>-359000</v>
      </c>
      <c r="IW69" s="168">
        <v>819000</v>
      </c>
      <c r="IX69" s="168">
        <v>56000</v>
      </c>
      <c r="IY69" s="168">
        <v>-183000</v>
      </c>
      <c r="IZ69" s="168">
        <v>-415000</v>
      </c>
      <c r="JA69" s="168">
        <v>2222000</v>
      </c>
      <c r="JB69" s="168">
        <v>1445000</v>
      </c>
      <c r="JC69" s="21"/>
      <c r="JD69" s="21"/>
      <c r="JE69" s="168">
        <v>10947000</v>
      </c>
      <c r="JF69" s="168">
        <v>10768000</v>
      </c>
      <c r="JG69" s="21"/>
      <c r="JH69" s="21"/>
      <c r="JI69" s="168">
        <v>56417000</v>
      </c>
      <c r="JJ69" s="168">
        <v>60274000</v>
      </c>
      <c r="JK69" s="21"/>
      <c r="JL69" s="21"/>
      <c r="JM69" s="168">
        <v>57236000</v>
      </c>
      <c r="JN69" s="168">
        <v>60330000</v>
      </c>
      <c r="JO69" s="21"/>
      <c r="JP69" s="21"/>
      <c r="JQ69" s="21"/>
      <c r="JR69" s="21"/>
      <c r="JS69" s="21"/>
      <c r="JT69" s="21"/>
      <c r="JU69" s="21"/>
      <c r="JV69" s="21"/>
      <c r="JW69" s="168">
        <v>53845000</v>
      </c>
      <c r="JX69" s="168">
        <v>58139000</v>
      </c>
      <c r="JY69" s="21"/>
      <c r="JZ69" s="21"/>
      <c r="KA69" s="21"/>
      <c r="KB69" s="21"/>
      <c r="KC69" s="21"/>
      <c r="KD69" s="21"/>
      <c r="KE69" s="21"/>
      <c r="KF69" s="21"/>
      <c r="KG69" s="21"/>
      <c r="KH69" s="21"/>
      <c r="KI69" s="168">
        <v>53588000</v>
      </c>
      <c r="KJ69" s="168">
        <v>57094000</v>
      </c>
      <c r="KK69" s="21"/>
      <c r="KL69" s="21"/>
      <c r="KM69" s="21"/>
      <c r="KN69" s="21"/>
      <c r="KO69" s="21"/>
      <c r="KP69" s="21"/>
      <c r="KQ69" s="168">
        <v>3411000</v>
      </c>
      <c r="KR69" s="168">
        <v>3635000</v>
      </c>
      <c r="KS69" s="21"/>
      <c r="KT69" s="21"/>
      <c r="KU69" s="21"/>
      <c r="KV69" s="21"/>
      <c r="KW69" s="21"/>
      <c r="KX69" s="21"/>
      <c r="KY69" s="21"/>
      <c r="KZ69" s="21"/>
      <c r="LA69" s="168">
        <v>1000000</v>
      </c>
      <c r="LB69" s="168">
        <v>1000000</v>
      </c>
      <c r="LC69" s="21"/>
      <c r="LD69" s="21"/>
      <c r="LE69" s="21"/>
      <c r="LF69" s="21"/>
      <c r="LG69" s="21"/>
      <c r="LH69" s="21"/>
      <c r="LI69" s="21"/>
      <c r="LJ69" s="21"/>
      <c r="LK69" s="168">
        <v>9348000</v>
      </c>
      <c r="LL69" s="168">
        <v>11164000</v>
      </c>
      <c r="LM69" s="21"/>
      <c r="LN69" s="21"/>
      <c r="LO69" s="21"/>
      <c r="LP69" s="21"/>
      <c r="LQ69" s="21"/>
      <c r="LR69" s="21"/>
      <c r="LS69" s="21"/>
      <c r="LT69" s="21"/>
      <c r="LU69" s="21"/>
      <c r="LV69" s="21"/>
      <c r="LW69" s="21"/>
      <c r="LX69" s="21"/>
      <c r="LY69" s="21"/>
      <c r="LZ69" s="21"/>
      <c r="MA69" s="21"/>
      <c r="MB69" s="21"/>
      <c r="MC69" s="168">
        <v>101000</v>
      </c>
      <c r="MD69" s="168">
        <v>279000</v>
      </c>
      <c r="ME69" s="21"/>
      <c r="MF69" s="21"/>
      <c r="MG69" s="21"/>
      <c r="MH69" s="21"/>
      <c r="MI69" s="21"/>
      <c r="MJ69" s="21"/>
      <c r="MK69" s="21"/>
      <c r="ML69" s="21"/>
      <c r="MM69" s="21"/>
      <c r="MN69" s="21"/>
      <c r="MO69" s="21"/>
      <c r="MP69" s="21"/>
      <c r="MQ69" s="21"/>
      <c r="MR69" s="21"/>
      <c r="MS69" s="21"/>
      <c r="MT69" s="21"/>
      <c r="MU69" s="21"/>
      <c r="MV69" s="21"/>
      <c r="MW69" s="21"/>
      <c r="MX69" s="21"/>
      <c r="MY69" s="21"/>
      <c r="MZ69" s="21"/>
      <c r="NA69" s="21"/>
      <c r="NB69" s="21"/>
      <c r="NC69" s="168">
        <v>-258000</v>
      </c>
      <c r="ND69" s="168">
        <v>-98000</v>
      </c>
      <c r="NE69" s="21"/>
      <c r="NF69" s="21"/>
      <c r="NG69" s="21"/>
      <c r="NH69" s="21"/>
      <c r="NI69" s="21"/>
      <c r="NJ69" s="21"/>
      <c r="NK69" s="21"/>
      <c r="NL69" s="21"/>
      <c r="NM69" s="168">
        <v>12860000</v>
      </c>
      <c r="NN69" s="168">
        <v>15078000</v>
      </c>
      <c r="NO69" s="168">
        <v>53969000</v>
      </c>
      <c r="NP69" s="168">
        <v>54523000</v>
      </c>
      <c r="NQ69" s="168" t="s">
        <v>1104</v>
      </c>
      <c r="NR69" s="168" t="s">
        <v>1105</v>
      </c>
      <c r="NS69" s="168" t="s">
        <v>770</v>
      </c>
      <c r="NT69" s="168" t="s">
        <v>771</v>
      </c>
      <c r="NU69" s="168">
        <v>4001</v>
      </c>
      <c r="NV69" s="168" t="s">
        <v>2104</v>
      </c>
      <c r="NW69" s="168" t="s">
        <v>28</v>
      </c>
      <c r="NX69" s="168" t="s">
        <v>25</v>
      </c>
      <c r="NY69" s="169">
        <v>42916</v>
      </c>
      <c r="NZ69" s="169">
        <v>42551</v>
      </c>
      <c r="OA69" s="169">
        <v>43081</v>
      </c>
      <c r="OB69" s="168" t="s">
        <v>1106</v>
      </c>
      <c r="OC69" s="168">
        <v>12</v>
      </c>
      <c r="OD69" s="168" t="s">
        <v>2105</v>
      </c>
      <c r="OE69" s="168" t="s">
        <v>2333</v>
      </c>
      <c r="OF69" s="168" t="s">
        <v>2295</v>
      </c>
      <c r="OG69" s="168" t="s">
        <v>1880</v>
      </c>
      <c r="OH69" s="168" t="s">
        <v>791</v>
      </c>
      <c r="OI69" s="168" t="s">
        <v>766</v>
      </c>
      <c r="OJ69" s="168" t="s">
        <v>3240</v>
      </c>
      <c r="OK69" s="168" t="s">
        <v>3264</v>
      </c>
    </row>
    <row r="70" spans="1:401" x14ac:dyDescent="0.2">
      <c r="A70" s="170" t="str">
        <f>Liste[[#This Row],[Siren]]</f>
        <v>818647679</v>
      </c>
      <c r="B70" s="198" t="str">
        <f>Liste[[#This Row],[Dénomination]]&amp;" - comptes "&amp;YEAR(Liste[[#This Row],[Date de cloture de l''exercice]])</f>
        <v>AURIES CLOUD CONSULTING - comptes 2017</v>
      </c>
      <c r="C70" s="21"/>
      <c r="D70" s="21"/>
      <c r="E70" s="21"/>
      <c r="F70" s="168">
        <v>75</v>
      </c>
      <c r="G70" s="21"/>
      <c r="H70" s="168">
        <v>75</v>
      </c>
      <c r="I70" s="168">
        <v>418</v>
      </c>
      <c r="J70" s="168">
        <v>749</v>
      </c>
      <c r="K70" s="21"/>
      <c r="L70" s="168">
        <v>1168</v>
      </c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168">
        <v>738</v>
      </c>
      <c r="BA70" s="21"/>
      <c r="BB70" s="168">
        <v>738</v>
      </c>
      <c r="BC70" s="21"/>
      <c r="BD70" s="168">
        <v>49452</v>
      </c>
      <c r="BE70" s="21"/>
      <c r="BF70" s="168">
        <v>49452</v>
      </c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168">
        <v>177990</v>
      </c>
      <c r="BY70" s="21"/>
      <c r="BZ70" s="168">
        <v>177990</v>
      </c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168">
        <v>418</v>
      </c>
      <c r="EL70" s="168">
        <v>749</v>
      </c>
      <c r="EM70" s="21"/>
      <c r="EN70" s="168">
        <v>1168</v>
      </c>
      <c r="EO70" s="21"/>
      <c r="EP70" s="168">
        <v>228256</v>
      </c>
      <c r="EQ70" s="21"/>
      <c r="ER70" s="168">
        <v>228256</v>
      </c>
      <c r="ES70" s="168">
        <v>418</v>
      </c>
      <c r="ET70" s="168">
        <v>229006</v>
      </c>
      <c r="EU70" s="21"/>
      <c r="EV70" s="168">
        <v>229425</v>
      </c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168">
        <v>98</v>
      </c>
      <c r="FJ70" s="21"/>
      <c r="FK70" s="168">
        <v>143941</v>
      </c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168">
        <v>57761</v>
      </c>
      <c r="FX70" s="21"/>
      <c r="FY70" s="21"/>
      <c r="FZ70" s="21"/>
      <c r="GA70" s="21"/>
      <c r="GB70" s="21"/>
      <c r="GC70" s="168">
        <v>98</v>
      </c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21"/>
      <c r="GQ70" s="21"/>
      <c r="GR70" s="21"/>
      <c r="GS70" s="21"/>
      <c r="GT70" s="21"/>
      <c r="GU70" s="21"/>
      <c r="GV70" s="21"/>
      <c r="GW70" s="168">
        <v>98</v>
      </c>
      <c r="GX70" s="21"/>
      <c r="GY70" s="21"/>
      <c r="GZ70" s="21"/>
      <c r="HA70" s="21"/>
      <c r="HB70" s="21"/>
      <c r="HC70" s="168">
        <v>16238</v>
      </c>
      <c r="HD70" s="21"/>
      <c r="HE70" s="168">
        <v>1</v>
      </c>
      <c r="HF70" s="21"/>
      <c r="HG70" s="168">
        <v>47</v>
      </c>
      <c r="HH70" s="21"/>
      <c r="HI70" s="21"/>
      <c r="HJ70" s="21"/>
      <c r="HK70" s="21"/>
      <c r="HL70" s="21"/>
      <c r="HM70" s="21"/>
      <c r="HN70" s="21"/>
      <c r="HO70" s="21"/>
      <c r="HP70" s="21"/>
      <c r="HQ70" s="21"/>
      <c r="HR70" s="21"/>
      <c r="HS70" s="21"/>
      <c r="HT70" s="21"/>
      <c r="HU70" s="21"/>
      <c r="HV70" s="21"/>
      <c r="HW70" s="21"/>
      <c r="HX70" s="21"/>
      <c r="HY70" s="21"/>
      <c r="HZ70" s="21"/>
      <c r="IA70" s="21"/>
      <c r="IB70" s="21"/>
      <c r="IC70" s="21"/>
      <c r="ID70" s="21"/>
      <c r="IE70" s="21"/>
      <c r="IF70" s="21"/>
      <c r="IG70" s="21"/>
      <c r="IH70" s="21"/>
      <c r="II70" s="21"/>
      <c r="IJ70" s="21"/>
      <c r="IK70" s="21"/>
      <c r="IL70" s="21"/>
      <c r="IM70" s="21"/>
      <c r="IN70" s="21"/>
      <c r="IO70" s="21"/>
      <c r="IP70" s="21"/>
      <c r="IQ70" s="21"/>
      <c r="IR70" s="21"/>
      <c r="IS70" s="21"/>
      <c r="IT70" s="21"/>
      <c r="IU70" s="168">
        <v>201603</v>
      </c>
      <c r="IV70" s="21"/>
      <c r="IW70" s="168">
        <v>201556</v>
      </c>
      <c r="IX70" s="21"/>
      <c r="IY70" s="168">
        <v>47</v>
      </c>
      <c r="IZ70" s="21"/>
      <c r="JA70" s="21"/>
      <c r="JB70" s="21"/>
      <c r="JC70" s="21"/>
      <c r="JD70" s="21"/>
      <c r="JE70" s="21"/>
      <c r="JF70" s="21"/>
      <c r="JG70" s="21"/>
      <c r="JH70" s="21"/>
      <c r="JI70" s="168">
        <v>16658</v>
      </c>
      <c r="JJ70" s="21"/>
      <c r="JK70" s="21"/>
      <c r="JL70" s="21"/>
      <c r="JM70" s="168">
        <v>218214</v>
      </c>
      <c r="JN70" s="21"/>
      <c r="JO70" s="168">
        <v>47</v>
      </c>
      <c r="JP70" s="21"/>
      <c r="JQ70" s="21"/>
      <c r="JR70" s="21"/>
      <c r="JS70" s="21"/>
      <c r="JT70" s="21"/>
      <c r="JU70" s="21"/>
      <c r="JV70" s="168">
        <v>218214</v>
      </c>
      <c r="JW70" s="168">
        <v>218214</v>
      </c>
      <c r="JX70" s="21"/>
      <c r="JY70" s="21"/>
      <c r="JZ70" s="168">
        <v>218214</v>
      </c>
      <c r="KA70" s="168">
        <v>218214</v>
      </c>
      <c r="KB70" s="21"/>
      <c r="KC70" s="21"/>
      <c r="KD70" s="168">
        <v>218214</v>
      </c>
      <c r="KE70" s="168">
        <v>218214</v>
      </c>
      <c r="KF70" s="21"/>
      <c r="KG70" s="21"/>
      <c r="KH70" s="21"/>
      <c r="KI70" s="21"/>
      <c r="KJ70" s="21"/>
      <c r="KK70" s="21"/>
      <c r="KL70" s="21"/>
      <c r="KM70" s="21"/>
      <c r="KN70" s="21"/>
      <c r="KO70" s="21"/>
      <c r="KP70" s="21"/>
      <c r="KQ70" s="21"/>
      <c r="KR70" s="21"/>
      <c r="KS70" s="21"/>
      <c r="KT70" s="21"/>
      <c r="KU70" s="21"/>
      <c r="KV70" s="21"/>
      <c r="KW70" s="21"/>
      <c r="KX70" s="21"/>
      <c r="KY70" s="168">
        <v>1188</v>
      </c>
      <c r="KZ70" s="21"/>
      <c r="LA70" s="168">
        <v>1000</v>
      </c>
      <c r="LB70" s="21"/>
      <c r="LC70" s="21"/>
      <c r="LD70" s="21"/>
      <c r="LE70" s="21"/>
      <c r="LF70" s="21"/>
      <c r="LG70" s="21"/>
      <c r="LH70" s="21"/>
      <c r="LI70" s="21"/>
      <c r="LJ70" s="21"/>
      <c r="LK70" s="168">
        <v>82352</v>
      </c>
      <c r="LL70" s="21"/>
      <c r="LM70" s="21"/>
      <c r="LN70" s="21"/>
      <c r="LO70" s="21"/>
      <c r="LP70" s="21"/>
      <c r="LQ70" s="21"/>
      <c r="LR70" s="21"/>
      <c r="LS70" s="21"/>
      <c r="LT70" s="21"/>
      <c r="LU70" s="21"/>
      <c r="LV70" s="21"/>
      <c r="LW70" s="21"/>
      <c r="LX70" s="21"/>
      <c r="LY70" s="21"/>
      <c r="LZ70" s="21"/>
      <c r="MA70" s="168">
        <v>523</v>
      </c>
      <c r="MB70" s="21"/>
      <c r="MC70" s="21"/>
      <c r="MD70" s="21"/>
      <c r="ME70" s="21"/>
      <c r="MF70" s="21"/>
      <c r="MG70" s="21"/>
      <c r="MH70" s="21"/>
      <c r="MI70" s="21"/>
      <c r="MJ70" s="21"/>
      <c r="MK70" s="21"/>
      <c r="ML70" s="21"/>
      <c r="MM70" s="21"/>
      <c r="MN70" s="21"/>
      <c r="MO70" s="21"/>
      <c r="MP70" s="21"/>
      <c r="MQ70" s="21"/>
      <c r="MR70" s="21"/>
      <c r="MS70" s="21"/>
      <c r="MT70" s="21"/>
      <c r="MU70" s="21"/>
      <c r="MV70" s="21"/>
      <c r="MW70" s="21"/>
      <c r="MX70" s="21"/>
      <c r="MY70" s="21"/>
      <c r="MZ70" s="21"/>
      <c r="NA70" s="21"/>
      <c r="NB70" s="21"/>
      <c r="NC70" s="168">
        <v>143941</v>
      </c>
      <c r="ND70" s="21"/>
      <c r="NE70" s="21"/>
      <c r="NF70" s="21"/>
      <c r="NG70" s="168">
        <v>144941</v>
      </c>
      <c r="NH70" s="21"/>
      <c r="NI70" s="21"/>
      <c r="NJ70" s="21"/>
      <c r="NK70" s="21"/>
      <c r="NL70" s="21"/>
      <c r="NM70" s="168">
        <v>84064</v>
      </c>
      <c r="NN70" s="21"/>
      <c r="NO70" s="168">
        <v>229006</v>
      </c>
      <c r="NP70" s="21"/>
      <c r="NQ70" s="168" t="s">
        <v>1121</v>
      </c>
      <c r="NR70" s="168" t="s">
        <v>872</v>
      </c>
      <c r="NS70" s="168" t="s">
        <v>770</v>
      </c>
      <c r="NT70" s="168" t="s">
        <v>771</v>
      </c>
      <c r="NU70" s="168">
        <v>9201</v>
      </c>
      <c r="NV70" s="168" t="s">
        <v>2104</v>
      </c>
      <c r="NW70" s="168" t="s">
        <v>28</v>
      </c>
      <c r="NX70" s="168" t="s">
        <v>25</v>
      </c>
      <c r="NY70" s="169">
        <v>42916</v>
      </c>
      <c r="NZ70" s="21"/>
      <c r="OA70" s="169">
        <v>43080</v>
      </c>
      <c r="OB70" s="168" t="s">
        <v>1122</v>
      </c>
      <c r="OC70" s="168">
        <v>17</v>
      </c>
      <c r="OD70" s="168" t="s">
        <v>2105</v>
      </c>
      <c r="OE70" s="168" t="s">
        <v>2308</v>
      </c>
      <c r="OF70" s="168" t="s">
        <v>2309</v>
      </c>
      <c r="OG70" s="168" t="s">
        <v>1888</v>
      </c>
      <c r="OH70" s="168" t="s">
        <v>777</v>
      </c>
      <c r="OI70" s="168" t="s">
        <v>766</v>
      </c>
      <c r="OJ70" s="168" t="s">
        <v>3240</v>
      </c>
      <c r="OK70" s="168" t="s">
        <v>871</v>
      </c>
    </row>
    <row r="71" spans="1:401" x14ac:dyDescent="0.2">
      <c r="A71" s="170" t="str">
        <f>Liste[[#This Row],[Siren]]</f>
        <v>398773242</v>
      </c>
      <c r="B71" s="198" t="str">
        <f>Liste[[#This Row],[Dénomination]]&amp;" - comptes "&amp;YEAR(Liste[[#This Row],[Date de cloture de l''exercice]])</f>
        <v>DUDAS DEFFONTAINE PARTICIPATIONS - comptes 2017</v>
      </c>
      <c r="C71" s="21"/>
      <c r="D71" s="21"/>
      <c r="E71" s="21"/>
      <c r="F71" s="168">
        <v>2291852</v>
      </c>
      <c r="G71" s="168">
        <v>989694</v>
      </c>
      <c r="H71" s="168">
        <v>2291852</v>
      </c>
      <c r="I71" s="168">
        <v>1673949</v>
      </c>
      <c r="J71" s="168">
        <v>492197</v>
      </c>
      <c r="K71" s="168">
        <v>417781</v>
      </c>
      <c r="L71" s="168">
        <v>2166146</v>
      </c>
      <c r="M71" s="168">
        <v>65000</v>
      </c>
      <c r="N71" s="168">
        <v>1026930</v>
      </c>
      <c r="O71" s="168">
        <v>238853</v>
      </c>
      <c r="P71" s="168">
        <v>1091930</v>
      </c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168">
        <v>14839</v>
      </c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168">
        <v>61391</v>
      </c>
      <c r="BA71" s="168">
        <v>82968</v>
      </c>
      <c r="BB71" s="168">
        <v>61391</v>
      </c>
      <c r="BC71" s="168">
        <v>230892</v>
      </c>
      <c r="BD71" s="168">
        <v>3006091</v>
      </c>
      <c r="BE71" s="168">
        <v>4066573</v>
      </c>
      <c r="BF71" s="168">
        <v>3236983</v>
      </c>
      <c r="BG71" s="168">
        <v>146115</v>
      </c>
      <c r="BH71" s="168">
        <v>12369</v>
      </c>
      <c r="BI71" s="168">
        <v>19226</v>
      </c>
      <c r="BJ71" s="168">
        <v>158484</v>
      </c>
      <c r="BK71" s="168">
        <v>3546731</v>
      </c>
      <c r="BL71" s="168">
        <v>4587172</v>
      </c>
      <c r="BM71" s="168">
        <v>5026460</v>
      </c>
      <c r="BN71" s="168">
        <v>8133903</v>
      </c>
      <c r="BO71" s="21"/>
      <c r="BP71" s="21"/>
      <c r="BQ71" s="21"/>
      <c r="BR71" s="21"/>
      <c r="BS71" s="21"/>
      <c r="BT71" s="21"/>
      <c r="BU71" s="21"/>
      <c r="BV71" s="21"/>
      <c r="BW71" s="21"/>
      <c r="BX71" s="168">
        <v>4669908</v>
      </c>
      <c r="BY71" s="168">
        <v>5151801</v>
      </c>
      <c r="BZ71" s="168">
        <v>4669908</v>
      </c>
      <c r="CA71" s="21"/>
      <c r="CB71" s="21"/>
      <c r="CC71" s="21"/>
      <c r="CD71" s="168">
        <v>2005468</v>
      </c>
      <c r="CE71" s="168">
        <v>108979</v>
      </c>
      <c r="CF71" s="168">
        <v>149279</v>
      </c>
      <c r="CG71" s="168">
        <v>2114447</v>
      </c>
      <c r="CH71" s="21"/>
      <c r="CI71" s="21"/>
      <c r="CJ71" s="21"/>
      <c r="CK71" s="21"/>
      <c r="CL71" s="21"/>
      <c r="CM71" s="21"/>
      <c r="CN71" s="21"/>
      <c r="CO71" s="21"/>
      <c r="CP71" s="168">
        <v>149630</v>
      </c>
      <c r="CQ71" s="168">
        <v>2501</v>
      </c>
      <c r="CR71" s="168">
        <v>9508</v>
      </c>
      <c r="CS71" s="168">
        <v>152131</v>
      </c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168">
        <v>2783115</v>
      </c>
      <c r="DG71" s="168">
        <v>129487</v>
      </c>
      <c r="DH71" s="168">
        <v>171016</v>
      </c>
      <c r="DI71" s="168">
        <v>2912602</v>
      </c>
      <c r="DJ71" s="21"/>
      <c r="DK71" s="21"/>
      <c r="DL71" s="21"/>
      <c r="DM71" s="21"/>
      <c r="DN71" s="21"/>
      <c r="DO71" s="168">
        <v>747655</v>
      </c>
      <c r="DP71" s="168">
        <v>721555</v>
      </c>
      <c r="DQ71" s="168">
        <v>747655</v>
      </c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168">
        <v>10534056</v>
      </c>
      <c r="EL71" s="168">
        <v>8313662</v>
      </c>
      <c r="EM71" s="168">
        <v>8012138</v>
      </c>
      <c r="EN71" s="168">
        <v>18847718</v>
      </c>
      <c r="EO71" s="168">
        <v>230892</v>
      </c>
      <c r="EP71" s="168">
        <v>13401553</v>
      </c>
      <c r="EQ71" s="168">
        <v>14160837</v>
      </c>
      <c r="ER71" s="168">
        <v>13632445</v>
      </c>
      <c r="ES71" s="168">
        <v>10764948</v>
      </c>
      <c r="ET71" s="168">
        <v>21715215</v>
      </c>
      <c r="EU71" s="168">
        <v>22172975</v>
      </c>
      <c r="EV71" s="168">
        <v>32480163</v>
      </c>
      <c r="EW71" s="168">
        <v>164048</v>
      </c>
      <c r="EX71" s="168">
        <v>1954027</v>
      </c>
      <c r="EY71" s="168">
        <v>1972393</v>
      </c>
      <c r="EZ71" s="168">
        <v>2118075</v>
      </c>
      <c r="FA71" s="21"/>
      <c r="FB71" s="21"/>
      <c r="FC71" s="21"/>
      <c r="FD71" s="21"/>
      <c r="FE71" s="21"/>
      <c r="FF71" s="21"/>
      <c r="FG71" s="21"/>
      <c r="FH71" s="21"/>
      <c r="FI71" s="168">
        <v>386598</v>
      </c>
      <c r="FJ71" s="168">
        <v>217696</v>
      </c>
      <c r="FK71" s="21"/>
      <c r="FL71" s="21"/>
      <c r="FM71" s="168">
        <v>107739</v>
      </c>
      <c r="FN71" s="168">
        <v>58958</v>
      </c>
      <c r="FO71" s="168">
        <v>26860</v>
      </c>
      <c r="FP71" s="168">
        <v>77208</v>
      </c>
      <c r="FQ71" s="168">
        <v>40300</v>
      </c>
      <c r="FR71" s="168">
        <v>181914</v>
      </c>
      <c r="FS71" s="21"/>
      <c r="FT71" s="21"/>
      <c r="FU71" s="168">
        <v>1972</v>
      </c>
      <c r="FV71" s="168">
        <v>35222</v>
      </c>
      <c r="FW71" s="168">
        <v>560588</v>
      </c>
      <c r="FX71" s="168">
        <v>1073232</v>
      </c>
      <c r="FY71" s="168">
        <v>388619</v>
      </c>
      <c r="FZ71" s="168">
        <v>671725</v>
      </c>
      <c r="GA71" s="21"/>
      <c r="GB71" s="21"/>
      <c r="GC71" s="168">
        <v>176239</v>
      </c>
      <c r="GD71" s="168">
        <v>298055</v>
      </c>
      <c r="GE71" s="168">
        <v>344958</v>
      </c>
      <c r="GF71" s="168">
        <v>55807</v>
      </c>
      <c r="GG71" s="21"/>
      <c r="GH71" s="21"/>
      <c r="GI71" s="21"/>
      <c r="GJ71" s="21"/>
      <c r="GK71" s="21"/>
      <c r="GL71" s="21"/>
      <c r="GM71" s="168">
        <v>1597269</v>
      </c>
      <c r="GN71" s="168">
        <v>2414186</v>
      </c>
      <c r="GO71" s="168">
        <v>1637569</v>
      </c>
      <c r="GP71" s="168">
        <v>2596100</v>
      </c>
      <c r="GQ71" s="21"/>
      <c r="GR71" s="21"/>
      <c r="GS71" s="168">
        <v>1208650</v>
      </c>
      <c r="GT71" s="168">
        <v>1742461</v>
      </c>
      <c r="GU71" s="168">
        <v>134599</v>
      </c>
      <c r="GV71" s="168">
        <v>136166</v>
      </c>
      <c r="GW71" s="168">
        <v>521197</v>
      </c>
      <c r="GX71" s="168">
        <v>353862</v>
      </c>
      <c r="GY71" s="21"/>
      <c r="GZ71" s="21"/>
      <c r="HA71" s="21"/>
      <c r="HB71" s="21"/>
      <c r="HC71" s="168">
        <v>3130096</v>
      </c>
      <c r="HD71" s="168">
        <v>3443775</v>
      </c>
      <c r="HE71" s="168">
        <v>261485</v>
      </c>
      <c r="HF71" s="168">
        <v>142</v>
      </c>
      <c r="HG71" s="168">
        <v>190315</v>
      </c>
      <c r="HH71" s="168">
        <v>207190</v>
      </c>
      <c r="HI71" s="21"/>
      <c r="HJ71" s="21"/>
      <c r="HK71" s="21"/>
      <c r="HL71" s="21"/>
      <c r="HM71" s="21"/>
      <c r="HN71" s="21"/>
      <c r="HO71" s="168">
        <v>1037499</v>
      </c>
      <c r="HP71" s="168">
        <v>1078678</v>
      </c>
      <c r="HQ71" s="21"/>
      <c r="HR71" s="21"/>
      <c r="HS71" s="21"/>
      <c r="HT71" s="21"/>
      <c r="HU71" s="21"/>
      <c r="HV71" s="21"/>
      <c r="HW71" s="21"/>
      <c r="HX71" s="21"/>
      <c r="HY71" s="21"/>
      <c r="HZ71" s="21"/>
      <c r="IA71" s="21"/>
      <c r="IB71" s="21"/>
      <c r="IC71" s="21"/>
      <c r="ID71" s="168">
        <v>65000</v>
      </c>
      <c r="IE71" s="168">
        <v>274402</v>
      </c>
      <c r="IF71" s="168">
        <v>264090</v>
      </c>
      <c r="IG71" s="168">
        <v>151255</v>
      </c>
      <c r="IH71" s="168">
        <v>185904</v>
      </c>
      <c r="II71" s="21"/>
      <c r="IJ71" s="21"/>
      <c r="IK71" s="21"/>
      <c r="IL71" s="21"/>
      <c r="IM71" s="168">
        <v>-469852</v>
      </c>
      <c r="IN71" s="168">
        <v>2181384</v>
      </c>
      <c r="IO71" s="21"/>
      <c r="IP71" s="21"/>
      <c r="IQ71" s="21"/>
      <c r="IR71" s="21"/>
      <c r="IS71" s="21"/>
      <c r="IT71" s="21"/>
      <c r="IU71" s="168">
        <v>1813531</v>
      </c>
      <c r="IV71" s="168">
        <v>3416414</v>
      </c>
      <c r="IW71" s="168">
        <v>1756734</v>
      </c>
      <c r="IX71" s="168">
        <v>3430973</v>
      </c>
      <c r="IY71" s="168">
        <v>56797</v>
      </c>
      <c r="IZ71" s="168">
        <v>-14559</v>
      </c>
      <c r="JA71" s="168">
        <v>349682</v>
      </c>
      <c r="JB71" s="168">
        <v>252435</v>
      </c>
      <c r="JC71" s="21"/>
      <c r="JD71" s="21"/>
      <c r="JE71" s="168">
        <v>3137184</v>
      </c>
      <c r="JF71" s="168">
        <v>3088679</v>
      </c>
      <c r="JG71" s="168">
        <v>61746</v>
      </c>
      <c r="JH71" s="168">
        <v>28833</v>
      </c>
      <c r="JI71" s="168">
        <v>18356790</v>
      </c>
      <c r="JJ71" s="168">
        <v>22183947</v>
      </c>
      <c r="JK71" s="168">
        <v>151255</v>
      </c>
      <c r="JL71" s="168">
        <v>250904</v>
      </c>
      <c r="JM71" s="168">
        <v>20113524</v>
      </c>
      <c r="JN71" s="168">
        <v>25614920</v>
      </c>
      <c r="JO71" s="168">
        <v>208052</v>
      </c>
      <c r="JP71" s="168">
        <v>236345</v>
      </c>
      <c r="JQ71" s="21"/>
      <c r="JR71" s="21"/>
      <c r="JS71" s="21"/>
      <c r="JT71" s="21"/>
      <c r="JU71" s="21"/>
      <c r="JV71" s="21"/>
      <c r="JW71" s="168">
        <v>20171948</v>
      </c>
      <c r="JX71" s="168">
        <v>23152268</v>
      </c>
      <c r="JY71" s="21"/>
      <c r="JZ71" s="21"/>
      <c r="KA71" s="21"/>
      <c r="KB71" s="21"/>
      <c r="KC71" s="21"/>
      <c r="KD71" s="21"/>
      <c r="KE71" s="21"/>
      <c r="KF71" s="21"/>
      <c r="KG71" s="21"/>
      <c r="KH71" s="21"/>
      <c r="KI71" s="21"/>
      <c r="KJ71" s="21"/>
      <c r="KK71" s="21"/>
      <c r="KL71" s="21"/>
      <c r="KM71" s="21"/>
      <c r="KN71" s="21"/>
      <c r="KO71" s="21"/>
      <c r="KP71" s="21"/>
      <c r="KQ71" s="168">
        <v>671058</v>
      </c>
      <c r="KR71" s="168">
        <v>631289</v>
      </c>
      <c r="KS71" s="21"/>
      <c r="KT71" s="21"/>
      <c r="KU71" s="21"/>
      <c r="KV71" s="21"/>
      <c r="KW71" s="21"/>
      <c r="KX71" s="21"/>
      <c r="KY71" s="168">
        <v>251665</v>
      </c>
      <c r="KZ71" s="168">
        <v>4789</v>
      </c>
      <c r="LA71" s="168">
        <v>160000</v>
      </c>
      <c r="LB71" s="168">
        <v>160000</v>
      </c>
      <c r="LC71" s="168">
        <v>1642588</v>
      </c>
      <c r="LD71" s="168">
        <v>567597</v>
      </c>
      <c r="LE71" s="168">
        <v>388619</v>
      </c>
      <c r="LF71" s="168">
        <v>671725</v>
      </c>
      <c r="LG71" s="21"/>
      <c r="LH71" s="21"/>
      <c r="LI71" s="168">
        <v>1585132</v>
      </c>
      <c r="LJ71" s="168">
        <v>2817876</v>
      </c>
      <c r="LK71" s="168">
        <v>3005980</v>
      </c>
      <c r="LL71" s="168">
        <v>3334129</v>
      </c>
      <c r="LM71" s="21"/>
      <c r="LN71" s="168">
        <v>19554</v>
      </c>
      <c r="LO71" s="21"/>
      <c r="LP71" s="21"/>
      <c r="LQ71" s="21"/>
      <c r="LR71" s="21"/>
      <c r="LS71" s="21"/>
      <c r="LT71" s="21"/>
      <c r="LU71" s="21"/>
      <c r="LV71" s="21"/>
      <c r="LW71" s="21"/>
      <c r="LX71" s="21"/>
      <c r="LY71" s="21"/>
      <c r="LZ71" s="21"/>
      <c r="MA71" s="168">
        <v>5095327</v>
      </c>
      <c r="MB71" s="168">
        <v>5984352</v>
      </c>
      <c r="MC71" s="168">
        <v>13750</v>
      </c>
      <c r="MD71" s="168">
        <v>13750</v>
      </c>
      <c r="ME71" s="21"/>
      <c r="MF71" s="21"/>
      <c r="MG71" s="168">
        <v>72011</v>
      </c>
      <c r="MH71" s="168">
        <v>102724</v>
      </c>
      <c r="MI71" s="168">
        <v>71991</v>
      </c>
      <c r="MJ71" s="168">
        <v>71991</v>
      </c>
      <c r="MK71" s="21"/>
      <c r="ML71" s="21"/>
      <c r="MM71" s="168">
        <v>123142</v>
      </c>
      <c r="MN71" s="168">
        <v>96622</v>
      </c>
      <c r="MO71" s="21"/>
      <c r="MP71" s="21"/>
      <c r="MQ71" s="21"/>
      <c r="MR71" s="21"/>
      <c r="MS71" s="21"/>
      <c r="MT71" s="21"/>
      <c r="MU71" s="21"/>
      <c r="MV71" s="21"/>
      <c r="MW71" s="21"/>
      <c r="MX71" s="21"/>
      <c r="MY71" s="21"/>
      <c r="MZ71" s="21"/>
      <c r="NA71" s="21"/>
      <c r="NB71" s="21"/>
      <c r="NC71" s="168">
        <v>1208650</v>
      </c>
      <c r="ND71" s="168">
        <v>1742461</v>
      </c>
      <c r="NE71" s="21"/>
      <c r="NF71" s="21"/>
      <c r="NG71" s="168">
        <v>8539206</v>
      </c>
      <c r="NH71" s="168">
        <v>7472670</v>
      </c>
      <c r="NI71" s="21"/>
      <c r="NJ71" s="21"/>
      <c r="NK71" s="168">
        <v>2031207</v>
      </c>
      <c r="NL71" s="168">
        <v>1239322</v>
      </c>
      <c r="NM71" s="168">
        <v>10746054</v>
      </c>
      <c r="NN71" s="168">
        <v>12902361</v>
      </c>
      <c r="NO71" s="168">
        <v>21715215</v>
      </c>
      <c r="NP71" s="168">
        <v>22172975</v>
      </c>
      <c r="NQ71" s="168" t="s">
        <v>1112</v>
      </c>
      <c r="NR71" s="168" t="s">
        <v>797</v>
      </c>
      <c r="NS71" s="168" t="s">
        <v>770</v>
      </c>
      <c r="NT71" s="168" t="s">
        <v>771</v>
      </c>
      <c r="NU71" s="168">
        <v>7606</v>
      </c>
      <c r="NV71" s="168" t="s">
        <v>2104</v>
      </c>
      <c r="NW71" s="168" t="s">
        <v>28</v>
      </c>
      <c r="NX71" s="168" t="s">
        <v>25</v>
      </c>
      <c r="NY71" s="169">
        <v>42916</v>
      </c>
      <c r="NZ71" s="169">
        <v>42551</v>
      </c>
      <c r="OA71" s="169">
        <v>43063</v>
      </c>
      <c r="OB71" s="168" t="s">
        <v>1113</v>
      </c>
      <c r="OC71" s="168">
        <v>12</v>
      </c>
      <c r="OD71" s="168" t="s">
        <v>2105</v>
      </c>
      <c r="OE71" s="168" t="s">
        <v>2266</v>
      </c>
      <c r="OF71" s="168" t="s">
        <v>2300</v>
      </c>
      <c r="OG71" s="168" t="s">
        <v>1883</v>
      </c>
      <c r="OH71" s="168" t="s">
        <v>1111</v>
      </c>
      <c r="OI71" s="168" t="s">
        <v>766</v>
      </c>
      <c r="OJ71" s="168" t="s">
        <v>3240</v>
      </c>
      <c r="OK71" s="168" t="s">
        <v>796</v>
      </c>
    </row>
    <row r="72" spans="1:401" x14ac:dyDescent="0.2">
      <c r="A72" s="170" t="str">
        <f>Liste[[#This Row],[Siren]]</f>
        <v>775715592</v>
      </c>
      <c r="B72" s="198" t="str">
        <f>Liste[[#This Row],[Dénomination]]&amp;" - comptes "&amp;YEAR(Liste[[#This Row],[Date de cloture de l''exercice]])</f>
        <v>OCEALIA - comptes 2017</v>
      </c>
      <c r="C72" s="21"/>
      <c r="D72" s="21"/>
      <c r="E72" s="21"/>
      <c r="F72" s="168">
        <v>21498301</v>
      </c>
      <c r="G72" s="168">
        <v>20935081</v>
      </c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168">
        <v>77182266</v>
      </c>
      <c r="BE72" s="168">
        <v>87912593</v>
      </c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168">
        <v>14980531</v>
      </c>
      <c r="BY72" s="168">
        <v>30802273</v>
      </c>
      <c r="BZ72" s="21"/>
      <c r="CA72" s="21"/>
      <c r="CB72" s="21"/>
      <c r="CC72" s="21"/>
      <c r="CD72" s="21"/>
      <c r="CE72" s="168">
        <v>3365521</v>
      </c>
      <c r="CF72" s="168">
        <v>1724612</v>
      </c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168">
        <v>6906492</v>
      </c>
      <c r="DT72" s="168">
        <v>6711564</v>
      </c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168">
        <v>127543748</v>
      </c>
      <c r="EM72" s="168">
        <v>121175851</v>
      </c>
      <c r="EN72" s="21"/>
      <c r="EO72" s="21"/>
      <c r="EP72" s="168">
        <v>274612709</v>
      </c>
      <c r="EQ72" s="168">
        <v>261230434</v>
      </c>
      <c r="ER72" s="21"/>
      <c r="ES72" s="21"/>
      <c r="ET72" s="168">
        <v>402156457</v>
      </c>
      <c r="EU72" s="168">
        <v>382406285</v>
      </c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168">
        <v>25317489</v>
      </c>
      <c r="FG72" s="168">
        <v>24201438</v>
      </c>
      <c r="FH72" s="21"/>
      <c r="FI72" s="168">
        <v>1184113</v>
      </c>
      <c r="FJ72" s="168">
        <v>1840684</v>
      </c>
      <c r="FK72" s="21"/>
      <c r="FL72" s="21"/>
      <c r="FM72" s="168">
        <v>4059331</v>
      </c>
      <c r="FN72" s="168">
        <v>763510</v>
      </c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168">
        <v>3562990</v>
      </c>
      <c r="FZ72" s="168">
        <v>6791124</v>
      </c>
      <c r="GA72" s="21"/>
      <c r="GB72" s="21"/>
      <c r="GC72" s="168">
        <v>5243444</v>
      </c>
      <c r="GD72" s="168">
        <v>2604194</v>
      </c>
      <c r="GE72" s="21"/>
      <c r="GF72" s="21"/>
      <c r="GG72" s="21"/>
      <c r="GH72" s="21"/>
      <c r="GI72" s="21"/>
      <c r="GJ72" s="21"/>
      <c r="GK72" s="21"/>
      <c r="GL72" s="21"/>
      <c r="GM72" s="168">
        <v>3555484</v>
      </c>
      <c r="GN72" s="168">
        <v>6790956</v>
      </c>
      <c r="GO72" s="168">
        <v>3857320</v>
      </c>
      <c r="GP72" s="168">
        <v>7204177</v>
      </c>
      <c r="GQ72" s="21"/>
      <c r="GR72" s="21"/>
      <c r="GS72" s="21"/>
      <c r="GT72" s="21"/>
      <c r="GU72" s="21"/>
      <c r="GV72" s="21"/>
      <c r="GW72" s="21"/>
      <c r="GX72" s="21"/>
      <c r="GY72" s="21"/>
      <c r="GZ72" s="21"/>
      <c r="HA72" s="21"/>
      <c r="HB72" s="21"/>
      <c r="HC72" s="168">
        <v>51072528</v>
      </c>
      <c r="HD72" s="168">
        <v>57184794</v>
      </c>
      <c r="HE72" s="21"/>
      <c r="HF72" s="21"/>
      <c r="HG72" s="21"/>
      <c r="HH72" s="21"/>
      <c r="HI72" s="168">
        <v>1394435</v>
      </c>
      <c r="HJ72" s="168">
        <v>1907122</v>
      </c>
      <c r="HK72" s="168">
        <v>10211</v>
      </c>
      <c r="HL72" s="168">
        <v>43743</v>
      </c>
      <c r="HM72" s="21"/>
      <c r="HN72" s="21"/>
      <c r="HO72" s="21"/>
      <c r="HP72" s="21"/>
      <c r="HQ72" s="21"/>
      <c r="HR72" s="21"/>
      <c r="HS72" s="21"/>
      <c r="HT72" s="21"/>
      <c r="HU72" s="168">
        <v>13630794</v>
      </c>
      <c r="HV72" s="168">
        <v>13244825</v>
      </c>
      <c r="HW72" s="21"/>
      <c r="HX72" s="21"/>
      <c r="HY72" s="168">
        <v>4060459</v>
      </c>
      <c r="HZ72" s="168">
        <v>2642048</v>
      </c>
      <c r="IA72" s="21"/>
      <c r="IB72" s="21"/>
      <c r="IC72" s="21"/>
      <c r="ID72" s="21"/>
      <c r="IE72" s="168">
        <v>6058911</v>
      </c>
      <c r="IF72" s="168">
        <v>7422006</v>
      </c>
      <c r="IG72" s="21"/>
      <c r="IH72" s="21"/>
      <c r="II72" s="168">
        <v>25260</v>
      </c>
      <c r="IJ72" s="168">
        <v>10123</v>
      </c>
      <c r="IK72" s="21"/>
      <c r="IL72" s="21"/>
      <c r="IM72" s="168">
        <v>260454</v>
      </c>
      <c r="IN72" s="168">
        <v>-591963</v>
      </c>
      <c r="IO72" s="21"/>
      <c r="IP72" s="21"/>
      <c r="IQ72" s="168">
        <v>2414552</v>
      </c>
      <c r="IR72" s="168">
        <v>2737085</v>
      </c>
      <c r="IS72" s="21"/>
      <c r="IT72" s="21"/>
      <c r="IU72" s="168">
        <v>3406247</v>
      </c>
      <c r="IV72" s="168">
        <v>6361040</v>
      </c>
      <c r="IW72" s="168">
        <v>2161210</v>
      </c>
      <c r="IX72" s="168">
        <v>5352188</v>
      </c>
      <c r="IY72" s="168">
        <v>1260086</v>
      </c>
      <c r="IZ72" s="168">
        <v>975232</v>
      </c>
      <c r="JA72" s="168">
        <v>5726875</v>
      </c>
      <c r="JB72" s="168">
        <v>1692674</v>
      </c>
      <c r="JC72" s="21"/>
      <c r="JD72" s="21"/>
      <c r="JE72" s="21"/>
      <c r="JF72" s="21"/>
      <c r="JG72" s="168">
        <v>167250</v>
      </c>
      <c r="JH72" s="168">
        <v>248961</v>
      </c>
      <c r="JI72" s="168">
        <v>536902074</v>
      </c>
      <c r="JJ72" s="168">
        <v>632127130</v>
      </c>
      <c r="JK72" s="21"/>
      <c r="JL72" s="21"/>
      <c r="JM72" s="168">
        <v>7549014</v>
      </c>
      <c r="JN72" s="168">
        <v>3256794</v>
      </c>
      <c r="JO72" s="21"/>
      <c r="JP72" s="21"/>
      <c r="JQ72" s="168">
        <v>413213455</v>
      </c>
      <c r="JR72" s="168">
        <v>499197522</v>
      </c>
      <c r="JS72" s="21"/>
      <c r="JT72" s="21"/>
      <c r="JU72" s="21"/>
      <c r="JV72" s="21"/>
      <c r="JW72" s="168">
        <v>531514270</v>
      </c>
      <c r="JX72" s="168">
        <v>634222524</v>
      </c>
      <c r="JY72" s="21"/>
      <c r="JZ72" s="21"/>
      <c r="KA72" s="168">
        <v>34661788</v>
      </c>
      <c r="KB72" s="168">
        <v>35669037</v>
      </c>
      <c r="KC72" s="21"/>
      <c r="KD72" s="21"/>
      <c r="KE72" s="21"/>
      <c r="KF72" s="21"/>
      <c r="KG72" s="21"/>
      <c r="KH72" s="21"/>
      <c r="KI72" s="168">
        <v>496852482</v>
      </c>
      <c r="KJ72" s="168">
        <v>598553487</v>
      </c>
      <c r="KK72" s="21"/>
      <c r="KL72" s="21"/>
      <c r="KM72" s="21"/>
      <c r="KN72" s="21"/>
      <c r="KO72" s="21"/>
      <c r="KP72" s="21"/>
      <c r="KQ72" s="168">
        <v>6063569</v>
      </c>
      <c r="KR72" s="168">
        <v>7432647</v>
      </c>
      <c r="KS72" s="21"/>
      <c r="KT72" s="21"/>
      <c r="KU72" s="21"/>
      <c r="KV72" s="21"/>
      <c r="KW72" s="21"/>
      <c r="KX72" s="21"/>
      <c r="KY72" s="21"/>
      <c r="KZ72" s="21"/>
      <c r="LA72" s="168">
        <v>17920411</v>
      </c>
      <c r="LB72" s="168">
        <v>17876523</v>
      </c>
      <c r="LC72" s="21"/>
      <c r="LD72" s="21"/>
      <c r="LE72" s="21"/>
      <c r="LF72" s="21"/>
      <c r="LG72" s="21"/>
      <c r="LH72" s="21"/>
      <c r="LI72" s="168">
        <v>14778236</v>
      </c>
      <c r="LJ72" s="168">
        <v>15025793</v>
      </c>
      <c r="LK72" s="168">
        <v>81095694</v>
      </c>
      <c r="LL72" s="168">
        <v>70075703</v>
      </c>
      <c r="LM72" s="168">
        <v>4636232</v>
      </c>
      <c r="LN72" s="168">
        <v>3755577</v>
      </c>
      <c r="LO72" s="21"/>
      <c r="LP72" s="21"/>
      <c r="LQ72" s="21"/>
      <c r="LR72" s="21"/>
      <c r="LS72" s="21"/>
      <c r="LT72" s="21"/>
      <c r="LU72" s="21"/>
      <c r="LV72" s="21"/>
      <c r="LW72" s="168">
        <v>10547837</v>
      </c>
      <c r="LX72" s="168">
        <v>10547804</v>
      </c>
      <c r="LY72" s="21"/>
      <c r="LZ72" s="21"/>
      <c r="MA72" s="21"/>
      <c r="MB72" s="21"/>
      <c r="MC72" s="168">
        <v>75005118</v>
      </c>
      <c r="MD72" s="168">
        <v>67845929</v>
      </c>
      <c r="ME72" s="21"/>
      <c r="MF72" s="21"/>
      <c r="MG72" s="21"/>
      <c r="MH72" s="21"/>
      <c r="MI72" s="168">
        <v>196950</v>
      </c>
      <c r="MJ72" s="168">
        <v>196950</v>
      </c>
      <c r="MK72" s="21"/>
      <c r="ML72" s="21"/>
      <c r="MM72" s="21"/>
      <c r="MN72" s="21"/>
      <c r="MO72" s="21"/>
      <c r="MP72" s="21"/>
      <c r="MQ72" s="21"/>
      <c r="MR72" s="21"/>
      <c r="MS72" s="21"/>
      <c r="MT72" s="21"/>
      <c r="MU72" s="21"/>
      <c r="MV72" s="21"/>
      <c r="MW72" s="168">
        <v>163378755</v>
      </c>
      <c r="MX72" s="168">
        <v>158584558</v>
      </c>
      <c r="MY72" s="21"/>
      <c r="MZ72" s="21"/>
      <c r="NA72" s="21"/>
      <c r="NB72" s="21"/>
      <c r="NC72" s="168">
        <v>3562990</v>
      </c>
      <c r="ND72" s="168">
        <v>6791124</v>
      </c>
      <c r="NE72" s="21"/>
      <c r="NF72" s="21"/>
      <c r="NG72" s="168">
        <v>195606943</v>
      </c>
      <c r="NH72" s="168">
        <v>193996959</v>
      </c>
      <c r="NI72" s="21"/>
      <c r="NJ72" s="21"/>
      <c r="NK72" s="21"/>
      <c r="NL72" s="21"/>
      <c r="NM72" s="168">
        <v>181578849</v>
      </c>
      <c r="NN72" s="168">
        <v>164135649</v>
      </c>
      <c r="NO72" s="168">
        <v>402156457</v>
      </c>
      <c r="NP72" s="168">
        <v>382406285</v>
      </c>
      <c r="NQ72" s="168" t="s">
        <v>1046</v>
      </c>
      <c r="NR72" s="168" t="s">
        <v>775</v>
      </c>
      <c r="NS72" s="168" t="s">
        <v>770</v>
      </c>
      <c r="NT72" s="168" t="s">
        <v>771</v>
      </c>
      <c r="NU72" s="168">
        <v>1601</v>
      </c>
      <c r="NV72" s="168" t="s">
        <v>2104</v>
      </c>
      <c r="NW72" s="168" t="s">
        <v>28</v>
      </c>
      <c r="NX72" s="168" t="s">
        <v>25</v>
      </c>
      <c r="NY72" s="169">
        <v>42916</v>
      </c>
      <c r="NZ72" s="169">
        <v>42551</v>
      </c>
      <c r="OA72" s="169">
        <v>43088</v>
      </c>
      <c r="OB72" s="168" t="s">
        <v>1110</v>
      </c>
      <c r="OC72" s="168">
        <v>12</v>
      </c>
      <c r="OD72" s="168" t="s">
        <v>2105</v>
      </c>
      <c r="OE72" s="168" t="s">
        <v>2298</v>
      </c>
      <c r="OF72" s="168" t="s">
        <v>2299</v>
      </c>
      <c r="OG72" s="168" t="s">
        <v>1882</v>
      </c>
      <c r="OH72" s="168" t="s">
        <v>924</v>
      </c>
      <c r="OI72" s="168" t="s">
        <v>766</v>
      </c>
      <c r="OJ72" s="168" t="s">
        <v>3240</v>
      </c>
      <c r="OK72" s="168" t="s">
        <v>773</v>
      </c>
    </row>
    <row r="73" spans="1:401" x14ac:dyDescent="0.2">
      <c r="A73" s="170" t="str">
        <f>Liste[[#This Row],[Siren]]</f>
        <v>422551176</v>
      </c>
      <c r="B73" s="198" t="str">
        <f>Liste[[#This Row],[Dénomination]]&amp;" - comptes "&amp;YEAR(Liste[[#This Row],[Date de cloture de l''exercice]])</f>
        <v>EUTELSAT S A - comptes 2017</v>
      </c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168">
        <v>345400000</v>
      </c>
      <c r="BE73" s="168">
        <v>406600000</v>
      </c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168">
        <v>343000000</v>
      </c>
      <c r="CF73" s="168">
        <v>358500000</v>
      </c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168">
        <v>-400000</v>
      </c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168">
        <v>5580300000</v>
      </c>
      <c r="EM73" s="168">
        <v>5697800000</v>
      </c>
      <c r="EN73" s="21"/>
      <c r="EO73" s="21"/>
      <c r="EP73" s="168">
        <v>834900000</v>
      </c>
      <c r="EQ73" s="168">
        <v>1342000000</v>
      </c>
      <c r="ER73" s="21"/>
      <c r="ES73" s="21"/>
      <c r="ET73" s="168">
        <v>6715900000</v>
      </c>
      <c r="EU73" s="168">
        <v>7637700000</v>
      </c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168">
        <v>-144800000</v>
      </c>
      <c r="FX73" s="168">
        <v>-218500000</v>
      </c>
      <c r="FY73" s="168">
        <v>-2500000</v>
      </c>
      <c r="FZ73" s="168">
        <v>800000</v>
      </c>
      <c r="GA73" s="21"/>
      <c r="GB73" s="21"/>
      <c r="GC73" s="21"/>
      <c r="GD73" s="21"/>
      <c r="GE73" s="21"/>
      <c r="GF73" s="21"/>
      <c r="GG73" s="21"/>
      <c r="GH73" s="21"/>
      <c r="GI73" s="21"/>
      <c r="GJ73" s="21"/>
      <c r="GK73" s="21"/>
      <c r="GL73" s="21"/>
      <c r="GM73" s="168">
        <v>398400000</v>
      </c>
      <c r="GN73" s="168">
        <v>399300000</v>
      </c>
      <c r="GO73" s="21"/>
      <c r="GP73" s="21"/>
      <c r="GQ73" s="21"/>
      <c r="GR73" s="21"/>
      <c r="GS73" s="168">
        <v>400800000</v>
      </c>
      <c r="GT73" s="168">
        <v>396600000</v>
      </c>
      <c r="GU73" s="21"/>
      <c r="GV73" s="21"/>
      <c r="GW73" s="21"/>
      <c r="GX73" s="21"/>
      <c r="GY73" s="21"/>
      <c r="GZ73" s="21"/>
      <c r="HA73" s="21"/>
      <c r="HB73" s="21"/>
      <c r="HC73" s="21"/>
      <c r="HD73" s="21"/>
      <c r="HE73" s="168">
        <v>-17100000</v>
      </c>
      <c r="HF73" s="168">
        <v>-2400000</v>
      </c>
      <c r="HG73" s="21"/>
      <c r="HH73" s="21"/>
      <c r="HI73" s="168">
        <v>31100000</v>
      </c>
      <c r="HJ73" s="21"/>
      <c r="HK73" s="21"/>
      <c r="HL73" s="21"/>
      <c r="HM73" s="21"/>
      <c r="HN73" s="21"/>
      <c r="HO73" s="21"/>
      <c r="HP73" s="21"/>
      <c r="HQ73" s="21"/>
      <c r="HR73" s="21"/>
      <c r="HS73" s="21"/>
      <c r="HT73" s="21"/>
      <c r="HU73" s="168">
        <v>-488400000</v>
      </c>
      <c r="HV73" s="168">
        <v>-456100000</v>
      </c>
      <c r="HW73" s="21"/>
      <c r="HX73" s="21"/>
      <c r="HY73" s="21"/>
      <c r="HZ73" s="21"/>
      <c r="IA73" s="21"/>
      <c r="IB73" s="21"/>
      <c r="IC73" s="21"/>
      <c r="ID73" s="21"/>
      <c r="IE73" s="21"/>
      <c r="IF73" s="21"/>
      <c r="IG73" s="21"/>
      <c r="IH73" s="21"/>
      <c r="II73" s="21"/>
      <c r="IJ73" s="21"/>
      <c r="IK73" s="21"/>
      <c r="IL73" s="21"/>
      <c r="IM73" s="21"/>
      <c r="IN73" s="21"/>
      <c r="IO73" s="21"/>
      <c r="IP73" s="21"/>
      <c r="IQ73" s="21"/>
      <c r="IR73" s="21"/>
      <c r="IS73" s="21"/>
      <c r="IT73" s="21"/>
      <c r="IU73" s="21"/>
      <c r="IV73" s="21"/>
      <c r="IW73" s="168">
        <v>668100000</v>
      </c>
      <c r="IX73" s="168">
        <v>709600000</v>
      </c>
      <c r="IY73" s="168">
        <v>-124500000</v>
      </c>
      <c r="IZ73" s="168">
        <v>-117400000</v>
      </c>
      <c r="JA73" s="21"/>
      <c r="JB73" s="21"/>
      <c r="JC73" s="21"/>
      <c r="JD73" s="21"/>
      <c r="JE73" s="21"/>
      <c r="JF73" s="21"/>
      <c r="JG73" s="21"/>
      <c r="JH73" s="21"/>
      <c r="JI73" s="21"/>
      <c r="JJ73" s="21"/>
      <c r="JK73" s="21"/>
      <c r="JL73" s="21"/>
      <c r="JM73" s="21"/>
      <c r="JN73" s="21"/>
      <c r="JO73" s="168">
        <v>1500000</v>
      </c>
      <c r="JP73" s="168">
        <v>3200000</v>
      </c>
      <c r="JQ73" s="21"/>
      <c r="JR73" s="21"/>
      <c r="JS73" s="21"/>
      <c r="JT73" s="21"/>
      <c r="JU73" s="21"/>
      <c r="JV73" s="21"/>
      <c r="JW73" s="21"/>
      <c r="JX73" s="21"/>
      <c r="JY73" s="21"/>
      <c r="JZ73" s="21"/>
      <c r="KA73" s="21"/>
      <c r="KB73" s="21"/>
      <c r="KC73" s="21"/>
      <c r="KD73" s="21"/>
      <c r="KE73" s="21"/>
      <c r="KF73" s="21"/>
      <c r="KG73" s="21"/>
      <c r="KH73" s="21"/>
      <c r="KI73" s="21"/>
      <c r="KJ73" s="21"/>
      <c r="KK73" s="21"/>
      <c r="KL73" s="21"/>
      <c r="KM73" s="21"/>
      <c r="KN73" s="21"/>
      <c r="KO73" s="21"/>
      <c r="KP73" s="21"/>
      <c r="KQ73" s="21"/>
      <c r="KR73" s="21"/>
      <c r="KS73" s="21"/>
      <c r="KT73" s="21"/>
      <c r="KU73" s="21"/>
      <c r="KV73" s="21"/>
      <c r="KW73" s="21"/>
      <c r="KX73" s="21"/>
      <c r="KY73" s="21"/>
      <c r="KZ73" s="21"/>
      <c r="LA73" s="168">
        <v>658600000</v>
      </c>
      <c r="LB73" s="168">
        <v>658600000</v>
      </c>
      <c r="LC73" s="21"/>
      <c r="LD73" s="21"/>
      <c r="LE73" s="21"/>
      <c r="LF73" s="21"/>
      <c r="LG73" s="21"/>
      <c r="LH73" s="21"/>
      <c r="LI73" s="21"/>
      <c r="LJ73" s="21"/>
      <c r="LK73" s="21"/>
      <c r="LL73" s="21"/>
      <c r="LM73" s="21"/>
      <c r="LN73" s="21"/>
      <c r="LO73" s="21"/>
      <c r="LP73" s="21"/>
      <c r="LQ73" s="21"/>
      <c r="LR73" s="21"/>
      <c r="LS73" s="21"/>
      <c r="LT73" s="21"/>
      <c r="LU73" s="21"/>
      <c r="LV73" s="21"/>
      <c r="LW73" s="21"/>
      <c r="LX73" s="21"/>
      <c r="LY73" s="21"/>
      <c r="LZ73" s="21"/>
      <c r="MA73" s="21"/>
      <c r="MB73" s="21"/>
      <c r="MC73" s="21"/>
      <c r="MD73" s="21"/>
      <c r="ME73" s="21"/>
      <c r="MF73" s="21"/>
      <c r="MG73" s="21"/>
      <c r="MH73" s="21"/>
      <c r="MI73" s="168">
        <v>8000000</v>
      </c>
      <c r="MJ73" s="168">
        <v>8000000</v>
      </c>
      <c r="MK73" s="21"/>
      <c r="ML73" s="21"/>
      <c r="MM73" s="21"/>
      <c r="MN73" s="21"/>
      <c r="MO73" s="21"/>
      <c r="MP73" s="21"/>
      <c r="MQ73" s="21"/>
      <c r="MR73" s="21"/>
      <c r="MS73" s="21"/>
      <c r="MT73" s="21"/>
      <c r="MU73" s="21"/>
      <c r="MV73" s="21"/>
      <c r="MW73" s="21"/>
      <c r="MX73" s="21"/>
      <c r="MY73" s="21"/>
      <c r="MZ73" s="21"/>
      <c r="NA73" s="21"/>
      <c r="NB73" s="21"/>
      <c r="NC73" s="21"/>
      <c r="ND73" s="21"/>
      <c r="NE73" s="21"/>
      <c r="NF73" s="21"/>
      <c r="NG73" s="168">
        <v>2271400000</v>
      </c>
      <c r="NH73" s="168">
        <v>1993400000</v>
      </c>
      <c r="NI73" s="21"/>
      <c r="NJ73" s="21"/>
      <c r="NK73" s="21"/>
      <c r="NL73" s="21"/>
      <c r="NM73" s="168">
        <v>5644400000</v>
      </c>
      <c r="NN73" s="168">
        <v>4444500000</v>
      </c>
      <c r="NO73" s="168">
        <v>7915800000</v>
      </c>
      <c r="NP73" s="168">
        <v>6437900000</v>
      </c>
      <c r="NQ73" s="168" t="s">
        <v>895</v>
      </c>
      <c r="NR73" s="168" t="s">
        <v>1411</v>
      </c>
      <c r="NS73" s="168" t="s">
        <v>770</v>
      </c>
      <c r="NT73" s="168" t="s">
        <v>771</v>
      </c>
      <c r="NU73" s="168">
        <v>7501</v>
      </c>
      <c r="NV73" s="168" t="s">
        <v>2104</v>
      </c>
      <c r="NW73" s="168" t="s">
        <v>28</v>
      </c>
      <c r="NX73" s="168" t="s">
        <v>25</v>
      </c>
      <c r="NY73" s="169">
        <v>42916</v>
      </c>
      <c r="NZ73" s="169">
        <v>42551</v>
      </c>
      <c r="OA73" s="169">
        <v>43131</v>
      </c>
      <c r="OB73" s="168" t="s">
        <v>1412</v>
      </c>
      <c r="OC73" s="168">
        <v>12</v>
      </c>
      <c r="OD73" s="168" t="s">
        <v>2105</v>
      </c>
      <c r="OE73" s="168" t="s">
        <v>3412</v>
      </c>
      <c r="OF73" s="168" t="s">
        <v>2522</v>
      </c>
      <c r="OG73" s="168" t="s">
        <v>2007</v>
      </c>
      <c r="OH73" s="168" t="s">
        <v>765</v>
      </c>
      <c r="OI73" s="168" t="s">
        <v>766</v>
      </c>
      <c r="OJ73" s="168" t="s">
        <v>3240</v>
      </c>
      <c r="OK73" s="168" t="s">
        <v>1410</v>
      </c>
    </row>
    <row r="74" spans="1:401" x14ac:dyDescent="0.2">
      <c r="A74" s="170" t="str">
        <f>Liste[[#This Row],[Siren]]</f>
        <v>778567750</v>
      </c>
      <c r="B74" s="198" t="str">
        <f>Liste[[#This Row],[Dénomination]]&amp;" - comptes "&amp;YEAR(Liste[[#This Row],[Date de cloture de l''exercice]])</f>
        <v>SOCIETE COOPERATIVE AGRICOLE TEOL - comptes 2017</v>
      </c>
      <c r="C74" s="21"/>
      <c r="D74" s="21"/>
      <c r="E74" s="168">
        <v>2000</v>
      </c>
      <c r="F74" s="168">
        <v>643000</v>
      </c>
      <c r="G74" s="168">
        <v>727000</v>
      </c>
      <c r="H74" s="168">
        <v>645000</v>
      </c>
      <c r="I74" s="168">
        <v>1295000</v>
      </c>
      <c r="J74" s="168">
        <v>182000</v>
      </c>
      <c r="K74" s="168">
        <v>146000</v>
      </c>
      <c r="L74" s="168">
        <v>1476000</v>
      </c>
      <c r="M74" s="21"/>
      <c r="N74" s="168">
        <v>17000</v>
      </c>
      <c r="O74" s="168">
        <v>14000</v>
      </c>
      <c r="P74" s="168">
        <v>17000</v>
      </c>
      <c r="Q74" s="21"/>
      <c r="R74" s="21"/>
      <c r="S74" s="21"/>
      <c r="T74" s="21"/>
      <c r="U74" s="21"/>
      <c r="V74" s="168">
        <v>183000</v>
      </c>
      <c r="W74" s="168">
        <v>184000</v>
      </c>
      <c r="X74" s="168">
        <v>183000</v>
      </c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168">
        <v>386000</v>
      </c>
      <c r="BA74" s="168">
        <v>229000</v>
      </c>
      <c r="BB74" s="168">
        <v>386000</v>
      </c>
      <c r="BC74" s="168">
        <v>843000</v>
      </c>
      <c r="BD74" s="168">
        <v>4751000</v>
      </c>
      <c r="BE74" s="168">
        <v>5305000</v>
      </c>
      <c r="BF74" s="168">
        <v>5594000</v>
      </c>
      <c r="BG74" s="168">
        <v>182000</v>
      </c>
      <c r="BH74" s="168">
        <v>97000</v>
      </c>
      <c r="BI74" s="168">
        <v>14000</v>
      </c>
      <c r="BJ74" s="168">
        <v>279000</v>
      </c>
      <c r="BK74" s="168">
        <v>4821000</v>
      </c>
      <c r="BL74" s="168">
        <v>4103000</v>
      </c>
      <c r="BM74" s="168">
        <v>4451000</v>
      </c>
      <c r="BN74" s="168">
        <v>8924000</v>
      </c>
      <c r="BO74" s="21"/>
      <c r="BP74" s="168">
        <v>75000</v>
      </c>
      <c r="BQ74" s="168">
        <v>84000</v>
      </c>
      <c r="BR74" s="168">
        <v>75000</v>
      </c>
      <c r="BS74" s="21"/>
      <c r="BT74" s="21"/>
      <c r="BU74" s="21"/>
      <c r="BV74" s="21"/>
      <c r="BW74" s="21"/>
      <c r="BX74" s="168">
        <v>747000</v>
      </c>
      <c r="BY74" s="168">
        <v>376000</v>
      </c>
      <c r="BZ74" s="168">
        <v>747000</v>
      </c>
      <c r="CA74" s="21"/>
      <c r="CB74" s="21"/>
      <c r="CC74" s="21"/>
      <c r="CD74" s="168">
        <v>50000</v>
      </c>
      <c r="CE74" s="168">
        <v>27000</v>
      </c>
      <c r="CF74" s="168">
        <v>34000</v>
      </c>
      <c r="CG74" s="168">
        <v>76000</v>
      </c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168">
        <v>3685000</v>
      </c>
      <c r="DG74" s="168">
        <v>836000</v>
      </c>
      <c r="DH74" s="168">
        <v>942000</v>
      </c>
      <c r="DI74" s="168">
        <v>4521000</v>
      </c>
      <c r="DJ74" s="168">
        <v>103000</v>
      </c>
      <c r="DK74" s="168">
        <v>3938000</v>
      </c>
      <c r="DL74" s="168">
        <v>4285000</v>
      </c>
      <c r="DM74" s="168">
        <v>4041000</v>
      </c>
      <c r="DN74" s="21"/>
      <c r="DO74" s="168">
        <v>118000</v>
      </c>
      <c r="DP74" s="168">
        <v>113000</v>
      </c>
      <c r="DQ74" s="168">
        <v>118000</v>
      </c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168">
        <v>10089000</v>
      </c>
      <c r="EL74" s="168">
        <v>6169000</v>
      </c>
      <c r="EM74" s="168">
        <v>6436000</v>
      </c>
      <c r="EN74" s="168">
        <v>16258000</v>
      </c>
      <c r="EO74" s="168">
        <v>947000</v>
      </c>
      <c r="EP74" s="168">
        <v>10686000</v>
      </c>
      <c r="EQ74" s="168">
        <v>11127000</v>
      </c>
      <c r="ER74" s="168">
        <v>11633000</v>
      </c>
      <c r="ES74" s="168">
        <v>11036000</v>
      </c>
      <c r="ET74" s="168">
        <v>16855000</v>
      </c>
      <c r="EU74" s="168">
        <v>17563000</v>
      </c>
      <c r="EV74" s="168">
        <v>27891000</v>
      </c>
      <c r="EW74" s="168">
        <v>57000</v>
      </c>
      <c r="EX74" s="168">
        <v>377000</v>
      </c>
      <c r="EY74" s="168">
        <v>375000</v>
      </c>
      <c r="EZ74" s="168">
        <v>434000</v>
      </c>
      <c r="FA74" s="21"/>
      <c r="FB74" s="168">
        <v>175000</v>
      </c>
      <c r="FC74" s="168">
        <v>190000</v>
      </c>
      <c r="FD74" s="168">
        <v>175000</v>
      </c>
      <c r="FE74" s="21"/>
      <c r="FF74" s="21"/>
      <c r="FG74" s="21"/>
      <c r="FH74" s="21"/>
      <c r="FI74" s="168">
        <v>-14000</v>
      </c>
      <c r="FJ74" s="168">
        <v>-4000</v>
      </c>
      <c r="FK74" s="21"/>
      <c r="FL74" s="21"/>
      <c r="FM74" s="168">
        <v>30000</v>
      </c>
      <c r="FN74" s="168">
        <v>22000</v>
      </c>
      <c r="FO74" s="168">
        <v>1000</v>
      </c>
      <c r="FP74" s="21"/>
      <c r="FQ74" s="168">
        <v>8000</v>
      </c>
      <c r="FR74" s="168">
        <v>8000</v>
      </c>
      <c r="FS74" s="21"/>
      <c r="FT74" s="21"/>
      <c r="FU74" s="168">
        <v>-27000</v>
      </c>
      <c r="FV74" s="168">
        <v>-18000</v>
      </c>
      <c r="FW74" s="168">
        <v>26000</v>
      </c>
      <c r="FX74" s="168">
        <v>16000</v>
      </c>
      <c r="FY74" s="168">
        <v>-2000</v>
      </c>
      <c r="FZ74" s="168">
        <v>-6000</v>
      </c>
      <c r="GA74" s="21"/>
      <c r="GB74" s="21"/>
      <c r="GC74" s="168">
        <v>8000</v>
      </c>
      <c r="GD74" s="168">
        <v>7000</v>
      </c>
      <c r="GE74" s="168">
        <v>9000</v>
      </c>
      <c r="GF74" s="168">
        <v>12000</v>
      </c>
      <c r="GG74" s="21"/>
      <c r="GH74" s="21"/>
      <c r="GI74" s="21"/>
      <c r="GJ74" s="21"/>
      <c r="GK74" s="21"/>
      <c r="GL74" s="21"/>
      <c r="GM74" s="168">
        <v>-98000</v>
      </c>
      <c r="GN74" s="168">
        <v>-127000</v>
      </c>
      <c r="GO74" s="168">
        <v>-75000</v>
      </c>
      <c r="GP74" s="168">
        <v>-124000</v>
      </c>
      <c r="GQ74" s="168">
        <v>-15000</v>
      </c>
      <c r="GR74" s="168">
        <v>4000</v>
      </c>
      <c r="GS74" s="168">
        <v>-95000</v>
      </c>
      <c r="GT74" s="168">
        <v>-122000</v>
      </c>
      <c r="GU74" s="168">
        <v>31000</v>
      </c>
      <c r="GV74" s="168">
        <v>22000</v>
      </c>
      <c r="GW74" s="168">
        <v>17000</v>
      </c>
      <c r="GX74" s="168">
        <v>18000</v>
      </c>
      <c r="GY74" s="21"/>
      <c r="GZ74" s="21"/>
      <c r="HA74" s="168">
        <v>21221000</v>
      </c>
      <c r="HB74" s="168">
        <v>22264000</v>
      </c>
      <c r="HC74" s="168">
        <v>1968000</v>
      </c>
      <c r="HD74" s="168">
        <v>2200000</v>
      </c>
      <c r="HE74" s="168">
        <v>29000</v>
      </c>
      <c r="HF74" s="168">
        <v>46000</v>
      </c>
      <c r="HG74" s="168">
        <v>208000</v>
      </c>
      <c r="HH74" s="168">
        <v>258000</v>
      </c>
      <c r="HI74" s="21"/>
      <c r="HJ74" s="21"/>
      <c r="HK74" s="21"/>
      <c r="HL74" s="21"/>
      <c r="HM74" s="21"/>
      <c r="HN74" s="21"/>
      <c r="HO74" s="168">
        <v>790000</v>
      </c>
      <c r="HP74" s="168">
        <v>719000</v>
      </c>
      <c r="HQ74" s="21"/>
      <c r="HR74" s="21"/>
      <c r="HS74" s="168">
        <v>209000</v>
      </c>
      <c r="HT74" s="168">
        <v>259000</v>
      </c>
      <c r="HU74" s="21"/>
      <c r="HV74" s="21"/>
      <c r="HW74" s="21"/>
      <c r="HX74" s="21"/>
      <c r="HY74" s="21"/>
      <c r="HZ74" s="21"/>
      <c r="IA74" s="21"/>
      <c r="IB74" s="21"/>
      <c r="IC74" s="21"/>
      <c r="ID74" s="21"/>
      <c r="IE74" s="168">
        <v>238000</v>
      </c>
      <c r="IF74" s="168">
        <v>255000</v>
      </c>
      <c r="IG74" s="168">
        <v>115000</v>
      </c>
      <c r="IH74" s="168">
        <v>130000</v>
      </c>
      <c r="II74" s="21"/>
      <c r="IJ74" s="21"/>
      <c r="IK74" s="21"/>
      <c r="IL74" s="21"/>
      <c r="IM74" s="21"/>
      <c r="IN74" s="21"/>
      <c r="IO74" s="21"/>
      <c r="IP74" s="21"/>
      <c r="IQ74" s="168">
        <v>1000</v>
      </c>
      <c r="IR74" s="168">
        <v>1000</v>
      </c>
      <c r="IS74" s="21"/>
      <c r="IT74" s="21"/>
      <c r="IU74" s="168">
        <v>-62000</v>
      </c>
      <c r="IV74" s="168">
        <v>-122000</v>
      </c>
      <c r="IW74" s="168">
        <v>-141000</v>
      </c>
      <c r="IX74" s="168">
        <v>-235000</v>
      </c>
      <c r="IY74" s="168">
        <v>79000</v>
      </c>
      <c r="IZ74" s="168">
        <v>113000</v>
      </c>
      <c r="JA74" s="168">
        <v>483000</v>
      </c>
      <c r="JB74" s="168">
        <v>353000</v>
      </c>
      <c r="JC74" s="21"/>
      <c r="JD74" s="21"/>
      <c r="JE74" s="168">
        <v>2082000</v>
      </c>
      <c r="JF74" s="168">
        <v>1908000</v>
      </c>
      <c r="JG74" s="168">
        <v>24000</v>
      </c>
      <c r="JH74" s="21"/>
      <c r="JI74" s="168">
        <v>27445000</v>
      </c>
      <c r="JJ74" s="168">
        <v>28190000</v>
      </c>
      <c r="JK74" s="168">
        <v>129000</v>
      </c>
      <c r="JL74" s="168">
        <v>146000</v>
      </c>
      <c r="JM74" s="168">
        <v>27304000</v>
      </c>
      <c r="JN74" s="168">
        <v>27956000</v>
      </c>
      <c r="JO74" s="21"/>
      <c r="JP74" s="21"/>
      <c r="JQ74" s="21"/>
      <c r="JR74" s="21"/>
      <c r="JS74" s="168">
        <v>441000</v>
      </c>
      <c r="JT74" s="168">
        <v>107000</v>
      </c>
      <c r="JU74" s="21"/>
      <c r="JV74" s="21"/>
      <c r="JW74" s="168">
        <v>26797000</v>
      </c>
      <c r="JX74" s="168">
        <v>27603000</v>
      </c>
      <c r="JY74" s="21"/>
      <c r="JZ74" s="21"/>
      <c r="KA74" s="21"/>
      <c r="KB74" s="21"/>
      <c r="KC74" s="21"/>
      <c r="KD74" s="21"/>
      <c r="KE74" s="21"/>
      <c r="KF74" s="21"/>
      <c r="KG74" s="21"/>
      <c r="KH74" s="21"/>
      <c r="KI74" s="21"/>
      <c r="KJ74" s="21"/>
      <c r="KK74" s="21"/>
      <c r="KL74" s="21"/>
      <c r="KM74" s="21"/>
      <c r="KN74" s="21"/>
      <c r="KO74" s="21"/>
      <c r="KP74" s="21"/>
      <c r="KQ74" s="168">
        <v>143000</v>
      </c>
      <c r="KR74" s="168">
        <v>127000</v>
      </c>
      <c r="KS74" s="21"/>
      <c r="KT74" s="21"/>
      <c r="KU74" s="21"/>
      <c r="KV74" s="21"/>
      <c r="KW74" s="21"/>
      <c r="KX74" s="21"/>
      <c r="KY74" s="168">
        <v>7000</v>
      </c>
      <c r="KZ74" s="168">
        <v>39000</v>
      </c>
      <c r="LA74" s="168">
        <v>592000</v>
      </c>
      <c r="LB74" s="168">
        <v>578000</v>
      </c>
      <c r="LC74" s="168">
        <v>389000</v>
      </c>
      <c r="LD74" s="168">
        <v>394000</v>
      </c>
      <c r="LE74" s="168">
        <v>-2000</v>
      </c>
      <c r="LF74" s="168">
        <v>-6000</v>
      </c>
      <c r="LG74" s="21"/>
      <c r="LH74" s="21"/>
      <c r="LI74" s="168">
        <v>812000</v>
      </c>
      <c r="LJ74" s="168">
        <v>799000</v>
      </c>
      <c r="LK74" s="168">
        <v>2142000</v>
      </c>
      <c r="LL74" s="168">
        <v>2494000</v>
      </c>
      <c r="LM74" s="21"/>
      <c r="LN74" s="21"/>
      <c r="LO74" s="21"/>
      <c r="LP74" s="21"/>
      <c r="LQ74" s="21"/>
      <c r="LR74" s="21"/>
      <c r="LS74" s="21"/>
      <c r="LT74" s="21"/>
      <c r="LU74" s="21"/>
      <c r="LV74" s="21"/>
      <c r="LW74" s="21"/>
      <c r="LX74" s="21"/>
      <c r="LY74" s="21"/>
      <c r="LZ74" s="21"/>
      <c r="MA74" s="168">
        <v>4740000</v>
      </c>
      <c r="MB74" s="168">
        <v>5078000</v>
      </c>
      <c r="MC74" s="21"/>
      <c r="MD74" s="21"/>
      <c r="ME74" s="21"/>
      <c r="MF74" s="21"/>
      <c r="MG74" s="168">
        <v>117000</v>
      </c>
      <c r="MH74" s="168">
        <v>134000</v>
      </c>
      <c r="MI74" s="21"/>
      <c r="MJ74" s="21"/>
      <c r="MK74" s="21"/>
      <c r="ML74" s="21"/>
      <c r="MM74" s="168">
        <v>45000</v>
      </c>
      <c r="MN74" s="168">
        <v>51000</v>
      </c>
      <c r="MO74" s="21"/>
      <c r="MP74" s="21"/>
      <c r="MQ74" s="21"/>
      <c r="MR74" s="21"/>
      <c r="MS74" s="21"/>
      <c r="MT74" s="21"/>
      <c r="MU74" s="21"/>
      <c r="MV74" s="21"/>
      <c r="MW74" s="21"/>
      <c r="MX74" s="21"/>
      <c r="MY74" s="21"/>
      <c r="MZ74" s="21"/>
      <c r="NA74" s="21"/>
      <c r="NB74" s="21"/>
      <c r="NC74" s="168">
        <v>-95000</v>
      </c>
      <c r="ND74" s="168">
        <v>-122000</v>
      </c>
      <c r="NE74" s="21"/>
      <c r="NF74" s="21"/>
      <c r="NG74" s="168">
        <v>8117000</v>
      </c>
      <c r="NH74" s="168">
        <v>8088000</v>
      </c>
      <c r="NI74" s="21"/>
      <c r="NJ74" s="21"/>
      <c r="NK74" s="168">
        <v>386000</v>
      </c>
      <c r="NL74" s="168">
        <v>389000</v>
      </c>
      <c r="NM74" s="168">
        <v>7889000</v>
      </c>
      <c r="NN74" s="168">
        <v>8588000</v>
      </c>
      <c r="NO74" s="168">
        <v>16855000</v>
      </c>
      <c r="NP74" s="168">
        <v>17563000</v>
      </c>
      <c r="NQ74" s="168" t="s">
        <v>1160</v>
      </c>
      <c r="NR74" s="168" t="s">
        <v>775</v>
      </c>
      <c r="NS74" s="168" t="s">
        <v>770</v>
      </c>
      <c r="NT74" s="168" t="s">
        <v>771</v>
      </c>
      <c r="NU74" s="168">
        <v>7106</v>
      </c>
      <c r="NV74" s="168" t="s">
        <v>2104</v>
      </c>
      <c r="NW74" s="168" t="s">
        <v>28</v>
      </c>
      <c r="NX74" s="168" t="s">
        <v>25</v>
      </c>
      <c r="NY74" s="169">
        <v>42916</v>
      </c>
      <c r="NZ74" s="169">
        <v>42551</v>
      </c>
      <c r="OA74" s="169">
        <v>43125</v>
      </c>
      <c r="OB74" s="168" t="s">
        <v>1161</v>
      </c>
      <c r="OC74" s="168">
        <v>12</v>
      </c>
      <c r="OD74" s="168" t="s">
        <v>2105</v>
      </c>
      <c r="OE74" s="168" t="s">
        <v>3413</v>
      </c>
      <c r="OF74" s="168" t="s">
        <v>2341</v>
      </c>
      <c r="OG74" s="168" t="s">
        <v>1907</v>
      </c>
      <c r="OH74" s="168" t="s">
        <v>1159</v>
      </c>
      <c r="OI74" s="168" t="s">
        <v>766</v>
      </c>
      <c r="OJ74" s="168" t="s">
        <v>3240</v>
      </c>
      <c r="OK74" s="168" t="s">
        <v>773</v>
      </c>
    </row>
    <row r="75" spans="1:401" x14ac:dyDescent="0.2">
      <c r="A75" s="170" t="str">
        <f>Liste[[#This Row],[Siren]]</f>
        <v>320153984</v>
      </c>
      <c r="B75" s="198" t="str">
        <f>Liste[[#This Row],[Dénomination]]&amp;" - comptes "&amp;YEAR(Liste[[#This Row],[Date de cloture de l''exercice]])</f>
        <v>COMPAGNIE FIDUCIAIRE - comptes 2017</v>
      </c>
      <c r="C75" s="21"/>
      <c r="D75" s="21"/>
      <c r="E75" s="168">
        <v>1309485</v>
      </c>
      <c r="F75" s="168">
        <v>14692048</v>
      </c>
      <c r="G75" s="168">
        <v>13603130</v>
      </c>
      <c r="H75" s="168">
        <v>16001533</v>
      </c>
      <c r="I75" s="168">
        <v>2946138</v>
      </c>
      <c r="J75" s="168">
        <v>1766878</v>
      </c>
      <c r="K75" s="168">
        <v>1040479</v>
      </c>
      <c r="L75" s="168">
        <v>4713016</v>
      </c>
      <c r="M75" s="168">
        <v>6304</v>
      </c>
      <c r="N75" s="168">
        <v>278604</v>
      </c>
      <c r="O75" s="168">
        <v>244620</v>
      </c>
      <c r="P75" s="168">
        <v>284908</v>
      </c>
      <c r="Q75" s="168">
        <v>1078746</v>
      </c>
      <c r="R75" s="168">
        <v>310276</v>
      </c>
      <c r="S75" s="168">
        <v>219090</v>
      </c>
      <c r="T75" s="168">
        <v>1389022</v>
      </c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168">
        <v>365624</v>
      </c>
      <c r="BA75" s="168">
        <v>416963</v>
      </c>
      <c r="BB75" s="168">
        <v>365624</v>
      </c>
      <c r="BC75" s="21"/>
      <c r="BD75" s="21"/>
      <c r="BE75" s="21"/>
      <c r="BF75" s="21"/>
      <c r="BG75" s="168">
        <v>737673</v>
      </c>
      <c r="BH75" s="168">
        <v>570575</v>
      </c>
      <c r="BI75" s="168">
        <v>613717</v>
      </c>
      <c r="BJ75" s="168">
        <v>1308248</v>
      </c>
      <c r="BK75" s="168">
        <v>1729</v>
      </c>
      <c r="BL75" s="168">
        <v>58124</v>
      </c>
      <c r="BM75" s="21"/>
      <c r="BN75" s="168">
        <v>59853</v>
      </c>
      <c r="BO75" s="21"/>
      <c r="BP75" s="21"/>
      <c r="BQ75" s="21"/>
      <c r="BR75" s="21"/>
      <c r="BS75" s="21"/>
      <c r="BT75" s="21"/>
      <c r="BU75" s="21"/>
      <c r="BV75" s="21"/>
      <c r="BW75" s="21"/>
      <c r="BX75" s="168">
        <v>5282773</v>
      </c>
      <c r="BY75" s="168">
        <v>5359029</v>
      </c>
      <c r="BZ75" s="168">
        <v>5282773</v>
      </c>
      <c r="CA75" s="21"/>
      <c r="CB75" s="21"/>
      <c r="CC75" s="21"/>
      <c r="CD75" s="21"/>
      <c r="CE75" s="168">
        <v>4141535</v>
      </c>
      <c r="CF75" s="21"/>
      <c r="CG75" s="168">
        <v>4141535</v>
      </c>
      <c r="CH75" s="21"/>
      <c r="CI75" s="21"/>
      <c r="CJ75" s="21"/>
      <c r="CK75" s="21"/>
      <c r="CL75" s="21"/>
      <c r="CM75" s="21"/>
      <c r="CN75" s="21"/>
      <c r="CO75" s="21"/>
      <c r="CP75" s="21"/>
      <c r="CQ75" s="168">
        <v>11848514</v>
      </c>
      <c r="CR75" s="168">
        <v>15734772</v>
      </c>
      <c r="CS75" s="168">
        <v>11848514</v>
      </c>
      <c r="CT75" s="21"/>
      <c r="CU75" s="21"/>
      <c r="CV75" s="21"/>
      <c r="CW75" s="21"/>
      <c r="CX75" s="168">
        <v>206018</v>
      </c>
      <c r="CY75" s="168">
        <v>302837</v>
      </c>
      <c r="CZ75" s="168">
        <v>329843</v>
      </c>
      <c r="DA75" s="168">
        <v>508855</v>
      </c>
      <c r="DB75" s="21"/>
      <c r="DC75" s="168">
        <v>13819</v>
      </c>
      <c r="DD75" s="168">
        <v>148469</v>
      </c>
      <c r="DE75" s="168">
        <v>13819</v>
      </c>
      <c r="DF75" s="168">
        <v>4146</v>
      </c>
      <c r="DG75" s="168">
        <v>7844</v>
      </c>
      <c r="DH75" s="168">
        <v>1006</v>
      </c>
      <c r="DI75" s="168">
        <v>11990</v>
      </c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168">
        <v>4980754</v>
      </c>
      <c r="EL75" s="168">
        <v>19613720</v>
      </c>
      <c r="EM75" s="168">
        <v>18680355</v>
      </c>
      <c r="EN75" s="168">
        <v>24594474</v>
      </c>
      <c r="EO75" s="168">
        <v>1309485</v>
      </c>
      <c r="EP75" s="168">
        <v>20340445</v>
      </c>
      <c r="EQ75" s="168">
        <v>19379122</v>
      </c>
      <c r="ER75" s="168">
        <v>21649930</v>
      </c>
      <c r="ES75" s="168">
        <v>6290239</v>
      </c>
      <c r="ET75" s="168">
        <v>39954165</v>
      </c>
      <c r="EU75" s="168">
        <v>38059477</v>
      </c>
      <c r="EV75" s="168">
        <v>46244404</v>
      </c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168">
        <v>156347</v>
      </c>
      <c r="FJ75" s="168">
        <v>749552</v>
      </c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168">
        <v>6279</v>
      </c>
      <c r="FV75" s="168">
        <v>35845</v>
      </c>
      <c r="FW75" s="168">
        <v>372936</v>
      </c>
      <c r="FX75" s="168">
        <v>331021</v>
      </c>
      <c r="FY75" s="168">
        <v>-3751</v>
      </c>
      <c r="FZ75" s="168">
        <v>334</v>
      </c>
      <c r="GA75" s="21"/>
      <c r="GB75" s="21"/>
      <c r="GC75" s="21"/>
      <c r="GD75" s="21"/>
      <c r="GE75" s="21"/>
      <c r="GF75" s="21"/>
      <c r="GG75" s="21"/>
      <c r="GH75" s="21"/>
      <c r="GI75" s="21"/>
      <c r="GJ75" s="21"/>
      <c r="GK75" s="21"/>
      <c r="GL75" s="21"/>
      <c r="GM75" s="168">
        <v>1435724</v>
      </c>
      <c r="GN75" s="168">
        <v>1801737</v>
      </c>
      <c r="GO75" s="168">
        <v>1469004</v>
      </c>
      <c r="GP75" s="168">
        <v>1798087</v>
      </c>
      <c r="GQ75" s="168">
        <v>33280</v>
      </c>
      <c r="GR75" s="168">
        <v>3650</v>
      </c>
      <c r="GS75" s="168">
        <v>1439475</v>
      </c>
      <c r="GT75" s="168">
        <v>1801403</v>
      </c>
      <c r="GU75" s="21"/>
      <c r="GV75" s="21"/>
      <c r="GW75" s="21"/>
      <c r="GX75" s="21"/>
      <c r="GY75" s="21"/>
      <c r="GZ75" s="21"/>
      <c r="HA75" s="21"/>
      <c r="HB75" s="21"/>
      <c r="HC75" s="21"/>
      <c r="HD75" s="21"/>
      <c r="HE75" s="168">
        <v>14794406</v>
      </c>
      <c r="HF75" s="168">
        <v>14077865</v>
      </c>
      <c r="HG75" s="21"/>
      <c r="HH75" s="21"/>
      <c r="HI75" s="168">
        <v>1358348</v>
      </c>
      <c r="HJ75" s="168">
        <v>1669802</v>
      </c>
      <c r="HK75" s="21"/>
      <c r="HL75" s="21"/>
      <c r="HM75" s="21"/>
      <c r="HN75" s="21"/>
      <c r="HO75" s="168">
        <v>21634799</v>
      </c>
      <c r="HP75" s="168">
        <v>20022252</v>
      </c>
      <c r="HQ75" s="21"/>
      <c r="HR75" s="21"/>
      <c r="HS75" s="21"/>
      <c r="HT75" s="21"/>
      <c r="HU75" s="168">
        <v>1741339</v>
      </c>
      <c r="HV75" s="168">
        <v>1705659</v>
      </c>
      <c r="HW75" s="21"/>
      <c r="HX75" s="21"/>
      <c r="HY75" s="21"/>
      <c r="HZ75" s="21"/>
      <c r="IA75" s="21"/>
      <c r="IB75" s="21"/>
      <c r="IC75" s="21"/>
      <c r="ID75" s="21"/>
      <c r="IE75" s="168">
        <v>815746</v>
      </c>
      <c r="IF75" s="168">
        <v>704548</v>
      </c>
      <c r="IG75" s="21"/>
      <c r="IH75" s="21"/>
      <c r="II75" s="21"/>
      <c r="IJ75" s="21"/>
      <c r="IK75" s="21"/>
      <c r="IL75" s="21"/>
      <c r="IM75" s="21"/>
      <c r="IN75" s="21"/>
      <c r="IO75" s="21"/>
      <c r="IP75" s="21"/>
      <c r="IQ75" s="21"/>
      <c r="IR75" s="21"/>
      <c r="IS75" s="21"/>
      <c r="IT75" s="21"/>
      <c r="IU75" s="168">
        <v>1679314</v>
      </c>
      <c r="IV75" s="168">
        <v>1343711</v>
      </c>
      <c r="IW75" s="168">
        <v>1732261</v>
      </c>
      <c r="IX75" s="168">
        <v>1373889</v>
      </c>
      <c r="IY75" s="168">
        <v>-52947</v>
      </c>
      <c r="IZ75" s="168">
        <v>-30178</v>
      </c>
      <c r="JA75" s="21"/>
      <c r="JB75" s="21"/>
      <c r="JC75" s="21"/>
      <c r="JD75" s="21"/>
      <c r="JE75" s="21"/>
      <c r="JF75" s="21"/>
      <c r="JG75" s="21"/>
      <c r="JH75" s="21"/>
      <c r="JI75" s="168">
        <v>39607857</v>
      </c>
      <c r="JJ75" s="168">
        <v>37106694</v>
      </c>
      <c r="JK75" s="168">
        <v>66002</v>
      </c>
      <c r="JL75" s="168">
        <v>79078</v>
      </c>
      <c r="JM75" s="168">
        <v>41340118</v>
      </c>
      <c r="JN75" s="168">
        <v>38480583</v>
      </c>
      <c r="JO75" s="168">
        <v>13055</v>
      </c>
      <c r="JP75" s="168">
        <v>48900</v>
      </c>
      <c r="JQ75" s="21"/>
      <c r="JR75" s="21"/>
      <c r="JS75" s="21"/>
      <c r="JT75" s="21"/>
      <c r="JU75" s="21"/>
      <c r="JV75" s="21"/>
      <c r="JW75" s="168">
        <v>39981770</v>
      </c>
      <c r="JX75" s="168">
        <v>36810781</v>
      </c>
      <c r="JY75" s="21"/>
      <c r="JZ75" s="21"/>
      <c r="KA75" s="21"/>
      <c r="KB75" s="21"/>
      <c r="KC75" s="21"/>
      <c r="KD75" s="21"/>
      <c r="KE75" s="21"/>
      <c r="KF75" s="21"/>
      <c r="KG75" s="21"/>
      <c r="KH75" s="21"/>
      <c r="KI75" s="21"/>
      <c r="KJ75" s="21"/>
      <c r="KK75" s="21"/>
      <c r="KL75" s="21"/>
      <c r="KM75" s="21"/>
      <c r="KN75" s="21"/>
      <c r="KO75" s="21"/>
      <c r="KP75" s="21"/>
      <c r="KQ75" s="168">
        <v>25716</v>
      </c>
      <c r="KR75" s="168">
        <v>111400</v>
      </c>
      <c r="KS75" s="21"/>
      <c r="KT75" s="21"/>
      <c r="KU75" s="168">
        <v>7852881</v>
      </c>
      <c r="KV75" s="168">
        <v>6256789</v>
      </c>
      <c r="KW75" s="21"/>
      <c r="KX75" s="21"/>
      <c r="KY75" s="168">
        <v>86523</v>
      </c>
      <c r="KZ75" s="168">
        <v>10772</v>
      </c>
      <c r="LA75" s="168">
        <v>7500000</v>
      </c>
      <c r="LB75" s="168">
        <v>7500000</v>
      </c>
      <c r="LC75" s="21"/>
      <c r="LD75" s="21"/>
      <c r="LE75" s="168">
        <v>-3751</v>
      </c>
      <c r="LF75" s="168">
        <v>334</v>
      </c>
      <c r="LG75" s="21"/>
      <c r="LH75" s="21"/>
      <c r="LI75" s="168">
        <v>8104805</v>
      </c>
      <c r="LJ75" s="168">
        <v>7638919</v>
      </c>
      <c r="LK75" s="168">
        <v>4515829</v>
      </c>
      <c r="LL75" s="168">
        <v>4540942</v>
      </c>
      <c r="LM75" s="168">
        <v>234802</v>
      </c>
      <c r="LN75" s="168">
        <v>279017</v>
      </c>
      <c r="LO75" s="21"/>
      <c r="LP75" s="21"/>
      <c r="LQ75" s="21"/>
      <c r="LR75" s="21"/>
      <c r="LS75" s="21"/>
      <c r="LT75" s="21"/>
      <c r="LU75" s="168">
        <v>-5866</v>
      </c>
      <c r="LV75" s="168">
        <v>-11339</v>
      </c>
      <c r="LW75" s="21"/>
      <c r="LX75" s="21"/>
      <c r="LY75" s="21"/>
      <c r="LZ75" s="21"/>
      <c r="MA75" s="168">
        <v>3039880</v>
      </c>
      <c r="MB75" s="168">
        <v>2586259</v>
      </c>
      <c r="MC75" s="168">
        <v>27962</v>
      </c>
      <c r="MD75" s="168">
        <v>44006</v>
      </c>
      <c r="ME75" s="21"/>
      <c r="MF75" s="21"/>
      <c r="MG75" s="21"/>
      <c r="MH75" s="21"/>
      <c r="MI75" s="168">
        <v>2979382</v>
      </c>
      <c r="MJ75" s="168">
        <v>2979382</v>
      </c>
      <c r="MK75" s="21"/>
      <c r="ML75" s="21"/>
      <c r="MM75" s="168">
        <v>1403083</v>
      </c>
      <c r="MN75" s="168">
        <v>1233877</v>
      </c>
      <c r="MO75" s="168">
        <v>1316930</v>
      </c>
      <c r="MP75" s="168">
        <v>1368247</v>
      </c>
      <c r="MQ75" s="21"/>
      <c r="MR75" s="21"/>
      <c r="MS75" s="21"/>
      <c r="MT75" s="21"/>
      <c r="MU75" s="21"/>
      <c r="MV75" s="21"/>
      <c r="MW75" s="168">
        <v>750000</v>
      </c>
      <c r="MX75" s="168">
        <v>700000</v>
      </c>
      <c r="MY75" s="21"/>
      <c r="MZ75" s="21"/>
      <c r="NA75" s="21"/>
      <c r="NB75" s="21"/>
      <c r="NC75" s="168">
        <v>1439475</v>
      </c>
      <c r="ND75" s="168">
        <v>1801403</v>
      </c>
      <c r="NE75" s="21"/>
      <c r="NF75" s="21"/>
      <c r="NG75" s="168">
        <v>21075730</v>
      </c>
      <c r="NH75" s="168">
        <v>20091254</v>
      </c>
      <c r="NI75" s="21"/>
      <c r="NJ75" s="21"/>
      <c r="NK75" s="168">
        <v>39602</v>
      </c>
      <c r="NL75" s="168">
        <v>2302</v>
      </c>
      <c r="NM75" s="168">
        <v>17521902</v>
      </c>
      <c r="NN75" s="168">
        <v>16597674</v>
      </c>
      <c r="NO75" s="168">
        <v>39954164</v>
      </c>
      <c r="NP75" s="168">
        <v>38059477</v>
      </c>
      <c r="NQ75" s="168" t="s">
        <v>1290</v>
      </c>
      <c r="NR75" s="168" t="s">
        <v>790</v>
      </c>
      <c r="NS75" s="168" t="s">
        <v>770</v>
      </c>
      <c r="NT75" s="168" t="s">
        <v>771</v>
      </c>
      <c r="NU75" s="168">
        <v>3302</v>
      </c>
      <c r="NV75" s="168" t="s">
        <v>2104</v>
      </c>
      <c r="NW75" s="168" t="s">
        <v>28</v>
      </c>
      <c r="NX75" s="168" t="s">
        <v>25</v>
      </c>
      <c r="NY75" s="169">
        <v>42916</v>
      </c>
      <c r="NZ75" s="169">
        <v>42551</v>
      </c>
      <c r="OA75" s="169">
        <v>43089</v>
      </c>
      <c r="OB75" s="168" t="s">
        <v>1299</v>
      </c>
      <c r="OC75" s="168">
        <v>12</v>
      </c>
      <c r="OD75" s="168" t="s">
        <v>2106</v>
      </c>
      <c r="OE75" s="168" t="s">
        <v>3418</v>
      </c>
      <c r="OF75" s="168" t="s">
        <v>2445</v>
      </c>
      <c r="OG75" s="168" t="s">
        <v>1960</v>
      </c>
      <c r="OH75" s="168" t="s">
        <v>931</v>
      </c>
      <c r="OI75" s="168" t="s">
        <v>766</v>
      </c>
      <c r="OJ75" s="168" t="s">
        <v>3240</v>
      </c>
      <c r="OK75" s="168" t="s">
        <v>788</v>
      </c>
    </row>
    <row r="76" spans="1:401" x14ac:dyDescent="0.2">
      <c r="A76" s="170" t="str">
        <f>Liste[[#This Row],[Siren]]</f>
        <v>815109962</v>
      </c>
      <c r="B76" s="198" t="str">
        <f>Liste[[#This Row],[Dénomination]]&amp;" - comptes "&amp;YEAR(Liste[[#This Row],[Date de cloture de l''exercice]])</f>
        <v>Delpharm Industrie - comptes 2017</v>
      </c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168">
        <v>10716000</v>
      </c>
      <c r="BY76" s="21"/>
      <c r="BZ76" s="21"/>
      <c r="CA76" s="21"/>
      <c r="CB76" s="21"/>
      <c r="CC76" s="21"/>
      <c r="CD76" s="21"/>
      <c r="CE76" s="168">
        <v>104793000</v>
      </c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168">
        <v>231295000</v>
      </c>
      <c r="EM76" s="21"/>
      <c r="EN76" s="21"/>
      <c r="EO76" s="21"/>
      <c r="EP76" s="168">
        <v>145529000</v>
      </c>
      <c r="EQ76" s="21"/>
      <c r="ER76" s="21"/>
      <c r="ES76" s="21"/>
      <c r="ET76" s="168">
        <v>376824000</v>
      </c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168">
        <v>-1562000</v>
      </c>
      <c r="FJ76" s="21"/>
      <c r="FK76" s="21"/>
      <c r="FL76" s="21"/>
      <c r="FM76" s="21"/>
      <c r="FN76" s="21"/>
      <c r="FO76" s="21"/>
      <c r="FP76" s="21"/>
      <c r="FQ76" s="168">
        <v>-8486000</v>
      </c>
      <c r="FR76" s="21"/>
      <c r="FS76" s="21"/>
      <c r="FT76" s="21"/>
      <c r="FU76" s="21"/>
      <c r="FV76" s="21"/>
      <c r="FW76" s="168">
        <v>-915000</v>
      </c>
      <c r="FX76" s="21"/>
      <c r="FY76" s="21"/>
      <c r="FZ76" s="21"/>
      <c r="GA76" s="21"/>
      <c r="GB76" s="21"/>
      <c r="GC76" s="21"/>
      <c r="GD76" s="21"/>
      <c r="GE76" s="21"/>
      <c r="GF76" s="21"/>
      <c r="GG76" s="21"/>
      <c r="GH76" s="21"/>
      <c r="GI76" s="21"/>
      <c r="GJ76" s="21"/>
      <c r="GK76" s="21"/>
      <c r="GL76" s="21"/>
      <c r="GM76" s="168">
        <v>-129000</v>
      </c>
      <c r="GN76" s="21"/>
      <c r="GO76" s="21"/>
      <c r="GP76" s="21"/>
      <c r="GQ76" s="21"/>
      <c r="GR76" s="21"/>
      <c r="GS76" s="168">
        <v>-129000</v>
      </c>
      <c r="GT76" s="21"/>
      <c r="GU76" s="168">
        <v>2364000</v>
      </c>
      <c r="GV76" s="21"/>
      <c r="GW76" s="168">
        <v>802000</v>
      </c>
      <c r="GX76" s="21"/>
      <c r="GY76" s="21"/>
      <c r="GZ76" s="21"/>
      <c r="HA76" s="21"/>
      <c r="HB76" s="21"/>
      <c r="HC76" s="21"/>
      <c r="HD76" s="21"/>
      <c r="HE76" s="168">
        <v>1470000</v>
      </c>
      <c r="HF76" s="21"/>
      <c r="HG76" s="21"/>
      <c r="HH76" s="21"/>
      <c r="HI76" s="168">
        <v>1473000</v>
      </c>
      <c r="HJ76" s="21"/>
      <c r="HK76" s="21"/>
      <c r="HL76" s="21"/>
      <c r="HM76" s="21"/>
      <c r="HN76" s="21"/>
      <c r="HO76" s="168">
        <v>208551000</v>
      </c>
      <c r="HP76" s="21"/>
      <c r="HQ76" s="21"/>
      <c r="HR76" s="21"/>
      <c r="HS76" s="21"/>
      <c r="HT76" s="21"/>
      <c r="HU76" s="21"/>
      <c r="HV76" s="21"/>
      <c r="HW76" s="21"/>
      <c r="HX76" s="21"/>
      <c r="HY76" s="21"/>
      <c r="HZ76" s="21"/>
      <c r="IA76" s="21"/>
      <c r="IB76" s="21"/>
      <c r="IC76" s="21"/>
      <c r="ID76" s="21"/>
      <c r="IE76" s="168">
        <v>18249000</v>
      </c>
      <c r="IF76" s="21"/>
      <c r="IG76" s="21"/>
      <c r="IH76" s="21"/>
      <c r="II76" s="21"/>
      <c r="IJ76" s="21"/>
      <c r="IK76" s="21"/>
      <c r="IL76" s="21"/>
      <c r="IM76" s="21"/>
      <c r="IN76" s="21"/>
      <c r="IO76" s="21"/>
      <c r="IP76" s="21"/>
      <c r="IQ76" s="21"/>
      <c r="IR76" s="21"/>
      <c r="IS76" s="21"/>
      <c r="IT76" s="21"/>
      <c r="IU76" s="168">
        <v>10835000</v>
      </c>
      <c r="IV76" s="21"/>
      <c r="IW76" s="168">
        <v>24446000</v>
      </c>
      <c r="IX76" s="21"/>
      <c r="IY76" s="168">
        <v>-13611000</v>
      </c>
      <c r="IZ76" s="21"/>
      <c r="JA76" s="168">
        <v>6097000</v>
      </c>
      <c r="JB76" s="21"/>
      <c r="JC76" s="21"/>
      <c r="JD76" s="21"/>
      <c r="JE76" s="21"/>
      <c r="JF76" s="21"/>
      <c r="JG76" s="168">
        <v>824000</v>
      </c>
      <c r="JH76" s="21"/>
      <c r="JI76" s="168">
        <v>581075000</v>
      </c>
      <c r="JJ76" s="21"/>
      <c r="JK76" s="168">
        <v>13673000</v>
      </c>
      <c r="JL76" s="21"/>
      <c r="JM76" s="168">
        <v>605521000</v>
      </c>
      <c r="JN76" s="21"/>
      <c r="JO76" s="168">
        <v>62000</v>
      </c>
      <c r="JP76" s="21"/>
      <c r="JQ76" s="21"/>
      <c r="JR76" s="21"/>
      <c r="JS76" s="21"/>
      <c r="JT76" s="21"/>
      <c r="JU76" s="21"/>
      <c r="JV76" s="21"/>
      <c r="JW76" s="168">
        <v>586228000</v>
      </c>
      <c r="JX76" s="21"/>
      <c r="JY76" s="21"/>
      <c r="JZ76" s="21"/>
      <c r="KA76" s="21"/>
      <c r="KB76" s="21"/>
      <c r="KC76" s="21"/>
      <c r="KD76" s="21"/>
      <c r="KE76" s="21"/>
      <c r="KF76" s="21"/>
      <c r="KG76" s="21"/>
      <c r="KH76" s="21"/>
      <c r="KI76" s="21"/>
      <c r="KJ76" s="21"/>
      <c r="KK76" s="21"/>
      <c r="KL76" s="21"/>
      <c r="KM76" s="21"/>
      <c r="KN76" s="21"/>
      <c r="KO76" s="21"/>
      <c r="KP76" s="21"/>
      <c r="KQ76" s="21"/>
      <c r="KR76" s="21"/>
      <c r="KS76" s="21"/>
      <c r="KT76" s="21"/>
      <c r="KU76" s="21"/>
      <c r="KV76" s="21"/>
      <c r="KW76" s="21"/>
      <c r="KX76" s="21"/>
      <c r="KY76" s="21"/>
      <c r="KZ76" s="21"/>
      <c r="LA76" s="168">
        <v>75659000</v>
      </c>
      <c r="LB76" s="21"/>
      <c r="LC76" s="21"/>
      <c r="LD76" s="21"/>
      <c r="LE76" s="21"/>
      <c r="LF76" s="21"/>
      <c r="LG76" s="21"/>
      <c r="LH76" s="21"/>
      <c r="LI76" s="21"/>
      <c r="LJ76" s="21"/>
      <c r="LK76" s="168">
        <v>61598000</v>
      </c>
      <c r="LL76" s="21"/>
      <c r="LM76" s="21"/>
      <c r="LN76" s="21"/>
      <c r="LO76" s="21"/>
      <c r="LP76" s="21"/>
      <c r="LQ76" s="21"/>
      <c r="LR76" s="21"/>
      <c r="LS76" s="21"/>
      <c r="LT76" s="21"/>
      <c r="LU76" s="21"/>
      <c r="LV76" s="21"/>
      <c r="LW76" s="21"/>
      <c r="LX76" s="21"/>
      <c r="LY76" s="21"/>
      <c r="LZ76" s="21"/>
      <c r="MA76" s="21"/>
      <c r="MB76" s="21"/>
      <c r="MC76" s="168">
        <v>159655000</v>
      </c>
      <c r="MD76" s="21"/>
      <c r="ME76" s="21"/>
      <c r="MF76" s="21"/>
      <c r="MG76" s="21"/>
      <c r="MH76" s="21"/>
      <c r="MI76" s="21"/>
      <c r="MJ76" s="21"/>
      <c r="MK76" s="21"/>
      <c r="ML76" s="21"/>
      <c r="MM76" s="21"/>
      <c r="MN76" s="21"/>
      <c r="MO76" s="21"/>
      <c r="MP76" s="21"/>
      <c r="MQ76" s="21"/>
      <c r="MR76" s="21"/>
      <c r="MS76" s="21"/>
      <c r="MT76" s="21"/>
      <c r="MU76" s="21"/>
      <c r="MV76" s="21"/>
      <c r="MW76" s="21"/>
      <c r="MX76" s="21"/>
      <c r="MY76" s="21"/>
      <c r="MZ76" s="21"/>
      <c r="NA76" s="21"/>
      <c r="NB76" s="21"/>
      <c r="NC76" s="168">
        <v>-129000</v>
      </c>
      <c r="ND76" s="21"/>
      <c r="NE76" s="21"/>
      <c r="NF76" s="21"/>
      <c r="NG76" s="168">
        <v>75530000</v>
      </c>
      <c r="NH76" s="21"/>
      <c r="NI76" s="21"/>
      <c r="NJ76" s="21"/>
      <c r="NK76" s="21"/>
      <c r="NL76" s="21"/>
      <c r="NM76" s="168">
        <v>283301000</v>
      </c>
      <c r="NN76" s="21"/>
      <c r="NO76" s="168">
        <v>376824000</v>
      </c>
      <c r="NP76" s="21"/>
      <c r="NQ76" s="168" t="s">
        <v>814</v>
      </c>
      <c r="NR76" s="168" t="s">
        <v>769</v>
      </c>
      <c r="NS76" s="168" t="s">
        <v>770</v>
      </c>
      <c r="NT76" s="168" t="s">
        <v>771</v>
      </c>
      <c r="NU76" s="168">
        <v>9201</v>
      </c>
      <c r="NV76" s="168" t="s">
        <v>2104</v>
      </c>
      <c r="NW76" s="168" t="s">
        <v>28</v>
      </c>
      <c r="NX76" s="168" t="s">
        <v>25</v>
      </c>
      <c r="NY76" s="169">
        <v>42916</v>
      </c>
      <c r="NZ76" s="21"/>
      <c r="OA76" s="169">
        <v>43119</v>
      </c>
      <c r="OB76" s="168" t="s">
        <v>3422</v>
      </c>
      <c r="OC76" s="168">
        <v>19</v>
      </c>
      <c r="OD76" s="168" t="s">
        <v>2105</v>
      </c>
      <c r="OE76" s="168" t="s">
        <v>2533</v>
      </c>
      <c r="OF76" s="168" t="s">
        <v>3423</v>
      </c>
      <c r="OG76" s="168" t="s">
        <v>3424</v>
      </c>
      <c r="OH76" s="168" t="s">
        <v>777</v>
      </c>
      <c r="OI76" s="168" t="s">
        <v>766</v>
      </c>
      <c r="OJ76" s="168" t="s">
        <v>3240</v>
      </c>
      <c r="OK76" s="168" t="s">
        <v>767</v>
      </c>
    </row>
    <row r="77" spans="1:401" x14ac:dyDescent="0.2">
      <c r="A77" s="170" t="str">
        <f>Liste[[#This Row],[Siren]]</f>
        <v>775629033</v>
      </c>
      <c r="B77" s="198" t="str">
        <f>Liste[[#This Row],[Dénomination]]&amp;" - comptes "&amp;YEAR(Liste[[#This Row],[Date de cloture de l''exercice]])</f>
        <v>COOPERATIVE AGRICOLE VALFRANCE - comptes 2017</v>
      </c>
      <c r="C77" s="21"/>
      <c r="D77" s="21"/>
      <c r="E77" s="168">
        <v>134817</v>
      </c>
      <c r="F77" s="168">
        <v>9896496</v>
      </c>
      <c r="G77" s="168">
        <v>9846736</v>
      </c>
      <c r="H77" s="168">
        <v>10031313</v>
      </c>
      <c r="I77" s="168">
        <v>4090420</v>
      </c>
      <c r="J77" s="168">
        <v>1229530</v>
      </c>
      <c r="K77" s="168">
        <v>1464604</v>
      </c>
      <c r="L77" s="168">
        <v>5319950</v>
      </c>
      <c r="M77" s="168">
        <v>1372</v>
      </c>
      <c r="N77" s="168">
        <v>89094</v>
      </c>
      <c r="O77" s="168">
        <v>100347</v>
      </c>
      <c r="P77" s="168">
        <v>90466</v>
      </c>
      <c r="Q77" s="168">
        <v>3637</v>
      </c>
      <c r="R77" s="168">
        <v>1699</v>
      </c>
      <c r="S77" s="168">
        <v>3371</v>
      </c>
      <c r="T77" s="168">
        <v>5336</v>
      </c>
      <c r="U77" s="168">
        <v>2309493</v>
      </c>
      <c r="V77" s="168">
        <v>15257912</v>
      </c>
      <c r="W77" s="168">
        <v>15100546</v>
      </c>
      <c r="X77" s="168">
        <v>17567405</v>
      </c>
      <c r="Y77" s="168">
        <v>74455</v>
      </c>
      <c r="Z77" s="168">
        <v>1618468</v>
      </c>
      <c r="AA77" s="168">
        <v>1618462</v>
      </c>
      <c r="AB77" s="168">
        <v>1692923</v>
      </c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168">
        <v>1857875</v>
      </c>
      <c r="BA77" s="168">
        <v>1537987</v>
      </c>
      <c r="BB77" s="168">
        <v>1857875</v>
      </c>
      <c r="BC77" s="168">
        <v>900080</v>
      </c>
      <c r="BD77" s="168">
        <v>28432371</v>
      </c>
      <c r="BE77" s="168">
        <v>43233052</v>
      </c>
      <c r="BF77" s="168">
        <v>29332451</v>
      </c>
      <c r="BG77" s="168">
        <v>1191584</v>
      </c>
      <c r="BH77" s="168">
        <v>55259</v>
      </c>
      <c r="BI77" s="168">
        <v>60665</v>
      </c>
      <c r="BJ77" s="168">
        <v>1246843</v>
      </c>
      <c r="BK77" s="168">
        <v>58017732</v>
      </c>
      <c r="BL77" s="168">
        <v>13115817</v>
      </c>
      <c r="BM77" s="168">
        <v>13716454</v>
      </c>
      <c r="BN77" s="168">
        <v>71133549</v>
      </c>
      <c r="BO77" s="21"/>
      <c r="BP77" s="168">
        <v>17082</v>
      </c>
      <c r="BQ77" s="168">
        <v>17077</v>
      </c>
      <c r="BR77" s="168">
        <v>17082</v>
      </c>
      <c r="BS77" s="21"/>
      <c r="BT77" s="21"/>
      <c r="BU77" s="21"/>
      <c r="BV77" s="21"/>
      <c r="BW77" s="21"/>
      <c r="BX77" s="168">
        <v>4645253</v>
      </c>
      <c r="BY77" s="168">
        <v>3508851</v>
      </c>
      <c r="BZ77" s="168">
        <v>4645253</v>
      </c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168">
        <v>18278</v>
      </c>
      <c r="CQ77" s="21"/>
      <c r="CR77" s="21"/>
      <c r="CS77" s="168">
        <v>18278</v>
      </c>
      <c r="CT77" s="21"/>
      <c r="CU77" s="21"/>
      <c r="CV77" s="21"/>
      <c r="CW77" s="21"/>
      <c r="CX77" s="21"/>
      <c r="CY77" s="21"/>
      <c r="CZ77" s="21"/>
      <c r="DA77" s="21"/>
      <c r="DB77" s="21"/>
      <c r="DC77" s="168">
        <v>137065</v>
      </c>
      <c r="DD77" s="168">
        <v>2479847</v>
      </c>
      <c r="DE77" s="168">
        <v>137065</v>
      </c>
      <c r="DF77" s="168">
        <v>34412407</v>
      </c>
      <c r="DG77" s="168">
        <v>16824767</v>
      </c>
      <c r="DH77" s="168">
        <v>15707880</v>
      </c>
      <c r="DI77" s="168">
        <v>51237174</v>
      </c>
      <c r="DJ77" s="168">
        <v>241008</v>
      </c>
      <c r="DK77" s="168">
        <v>12060561</v>
      </c>
      <c r="DL77" s="168">
        <v>17012337</v>
      </c>
      <c r="DM77" s="168">
        <v>12301569</v>
      </c>
      <c r="DN77" s="21"/>
      <c r="DO77" s="168">
        <v>1075032</v>
      </c>
      <c r="DP77" s="168">
        <v>823053</v>
      </c>
      <c r="DQ77" s="168">
        <v>1075032</v>
      </c>
      <c r="DR77" s="21"/>
      <c r="DS77" s="168">
        <v>1794404</v>
      </c>
      <c r="DT77" s="168">
        <v>1936100</v>
      </c>
      <c r="DU77" s="168">
        <v>1794404</v>
      </c>
      <c r="DV77" s="168">
        <v>985284</v>
      </c>
      <c r="DW77" s="168">
        <v>266354</v>
      </c>
      <c r="DX77" s="168">
        <v>321523</v>
      </c>
      <c r="DY77" s="168">
        <v>1251638</v>
      </c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168">
        <v>107864315</v>
      </c>
      <c r="EL77" s="168">
        <v>56205496</v>
      </c>
      <c r="EM77" s="168">
        <v>58616485</v>
      </c>
      <c r="EN77" s="168">
        <v>164069811</v>
      </c>
      <c r="EO77" s="168">
        <v>1275946</v>
      </c>
      <c r="EP77" s="168">
        <v>58137644</v>
      </c>
      <c r="EQ77" s="168">
        <v>76047211</v>
      </c>
      <c r="ER77" s="168">
        <v>59413590</v>
      </c>
      <c r="ES77" s="168">
        <v>109140261</v>
      </c>
      <c r="ET77" s="168">
        <v>114343139</v>
      </c>
      <c r="EU77" s="168">
        <v>134663696</v>
      </c>
      <c r="EV77" s="168">
        <v>223483400</v>
      </c>
      <c r="EW77" s="168">
        <v>6759653</v>
      </c>
      <c r="EX77" s="168">
        <v>5798045</v>
      </c>
      <c r="EY77" s="168">
        <v>6089609</v>
      </c>
      <c r="EZ77" s="168">
        <v>12557698</v>
      </c>
      <c r="FA77" s="21"/>
      <c r="FB77" s="21"/>
      <c r="FC77" s="21"/>
      <c r="FD77" s="21"/>
      <c r="FE77" s="168">
        <v>41</v>
      </c>
      <c r="FF77" s="168">
        <v>170050</v>
      </c>
      <c r="FG77" s="168">
        <v>85195</v>
      </c>
      <c r="FH77" s="168">
        <v>170091</v>
      </c>
      <c r="FI77" s="168">
        <v>388925</v>
      </c>
      <c r="FJ77" s="168">
        <v>54917</v>
      </c>
      <c r="FK77" s="21"/>
      <c r="FL77" s="21"/>
      <c r="FM77" s="168">
        <v>48068</v>
      </c>
      <c r="FN77" s="168">
        <v>7829</v>
      </c>
      <c r="FO77" s="168">
        <v>51581</v>
      </c>
      <c r="FP77" s="168">
        <v>148123</v>
      </c>
      <c r="FQ77" s="21"/>
      <c r="FR77" s="21"/>
      <c r="FS77" s="168">
        <v>1396</v>
      </c>
      <c r="FT77" s="168">
        <v>1134</v>
      </c>
      <c r="FU77" s="168">
        <v>18523</v>
      </c>
      <c r="FV77" s="168">
        <v>23908</v>
      </c>
      <c r="FW77" s="168">
        <v>394681</v>
      </c>
      <c r="FX77" s="168">
        <v>254445</v>
      </c>
      <c r="FY77" s="168">
        <v>-472</v>
      </c>
      <c r="FZ77" s="168">
        <v>39</v>
      </c>
      <c r="GA77" s="21"/>
      <c r="GB77" s="21"/>
      <c r="GC77" s="168">
        <v>87412</v>
      </c>
      <c r="GD77" s="168">
        <v>40727</v>
      </c>
      <c r="GE77" s="168">
        <v>402558</v>
      </c>
      <c r="GF77" s="168">
        <v>157439</v>
      </c>
      <c r="GG77" s="21"/>
      <c r="GH77" s="21"/>
      <c r="GI77" s="21"/>
      <c r="GJ77" s="21"/>
      <c r="GK77" s="21"/>
      <c r="GL77" s="168">
        <v>13837</v>
      </c>
      <c r="GM77" s="168">
        <v>1302109</v>
      </c>
      <c r="GN77" s="168">
        <v>1796814</v>
      </c>
      <c r="GO77" s="168">
        <v>1443805</v>
      </c>
      <c r="GP77" s="168">
        <v>1824176</v>
      </c>
      <c r="GQ77" s="168">
        <v>-141696</v>
      </c>
      <c r="GR77" s="168">
        <v>-27363</v>
      </c>
      <c r="GS77" s="168">
        <v>1302581</v>
      </c>
      <c r="GT77" s="168">
        <v>1796775</v>
      </c>
      <c r="GU77" s="168">
        <v>101045</v>
      </c>
      <c r="GV77" s="168">
        <v>157086</v>
      </c>
      <c r="GW77" s="168">
        <v>489970</v>
      </c>
      <c r="GX77" s="168">
        <v>212003</v>
      </c>
      <c r="GY77" s="168">
        <v>141340122</v>
      </c>
      <c r="GZ77" s="168">
        <v>207305490</v>
      </c>
      <c r="HA77" s="168">
        <v>3725369</v>
      </c>
      <c r="HB77" s="168">
        <v>3590551</v>
      </c>
      <c r="HC77" s="168">
        <v>15022915</v>
      </c>
      <c r="HD77" s="168">
        <v>20925858</v>
      </c>
      <c r="HE77" s="168">
        <v>1731354</v>
      </c>
      <c r="HF77" s="168">
        <v>2363582</v>
      </c>
      <c r="HG77" s="168">
        <v>363744</v>
      </c>
      <c r="HH77" s="168">
        <v>455156</v>
      </c>
      <c r="HI77" s="168">
        <v>253166</v>
      </c>
      <c r="HJ77" s="168">
        <v>160281</v>
      </c>
      <c r="HK77" s="21"/>
      <c r="HL77" s="21"/>
      <c r="HM77" s="168">
        <v>195</v>
      </c>
      <c r="HN77" s="21"/>
      <c r="HO77" s="168">
        <v>3070692</v>
      </c>
      <c r="HP77" s="168">
        <v>3213431</v>
      </c>
      <c r="HQ77" s="21"/>
      <c r="HR77" s="21"/>
      <c r="HS77" s="21"/>
      <c r="HT77" s="21"/>
      <c r="HU77" s="168">
        <v>5002029</v>
      </c>
      <c r="HV77" s="168">
        <v>4895445</v>
      </c>
      <c r="HW77" s="21"/>
      <c r="HX77" s="21"/>
      <c r="HY77" s="168">
        <v>304857</v>
      </c>
      <c r="HZ77" s="168">
        <v>276177</v>
      </c>
      <c r="IA77" s="168">
        <v>414305</v>
      </c>
      <c r="IB77" s="168">
        <v>869872</v>
      </c>
      <c r="IC77" s="168">
        <v>440041</v>
      </c>
      <c r="ID77" s="168">
        <v>720000</v>
      </c>
      <c r="IE77" s="168">
        <v>2320048</v>
      </c>
      <c r="IF77" s="168">
        <v>2220771</v>
      </c>
      <c r="IG77" s="168">
        <v>1044433</v>
      </c>
      <c r="IH77" s="168">
        <v>802396</v>
      </c>
      <c r="II77" s="21"/>
      <c r="IJ77" s="21"/>
      <c r="IK77" s="21"/>
      <c r="IL77" s="21"/>
      <c r="IM77" s="21"/>
      <c r="IN77" s="21"/>
      <c r="IO77" s="168">
        <v>67133</v>
      </c>
      <c r="IP77" s="168">
        <v>12667</v>
      </c>
      <c r="IQ77" s="168">
        <v>201230</v>
      </c>
      <c r="IR77" s="168">
        <v>192950</v>
      </c>
      <c r="IS77" s="21"/>
      <c r="IT77" s="168">
        <v>220</v>
      </c>
      <c r="IU77" s="168">
        <v>1468084</v>
      </c>
      <c r="IV77" s="168">
        <v>2047612</v>
      </c>
      <c r="IW77" s="168">
        <v>2101945</v>
      </c>
      <c r="IX77" s="168">
        <v>2909008</v>
      </c>
      <c r="IY77" s="168">
        <v>-633861</v>
      </c>
      <c r="IZ77" s="168">
        <v>-861396</v>
      </c>
      <c r="JA77" s="168">
        <v>534099</v>
      </c>
      <c r="JB77" s="168">
        <v>1280566</v>
      </c>
      <c r="JC77" s="168">
        <v>218697</v>
      </c>
      <c r="JD77" s="21"/>
      <c r="JE77" s="168">
        <v>6949978</v>
      </c>
      <c r="JF77" s="168">
        <v>7521745</v>
      </c>
      <c r="JG77" s="168">
        <v>25051</v>
      </c>
      <c r="JH77" s="168">
        <v>1355</v>
      </c>
      <c r="JI77" s="168">
        <v>184502134</v>
      </c>
      <c r="JJ77" s="168">
        <v>252328850</v>
      </c>
      <c r="JK77" s="168">
        <v>1484665</v>
      </c>
      <c r="JL77" s="168">
        <v>1522396</v>
      </c>
      <c r="JM77" s="168">
        <v>186604079</v>
      </c>
      <c r="JN77" s="168">
        <v>255237858</v>
      </c>
      <c r="JO77" s="168">
        <v>850804</v>
      </c>
      <c r="JP77" s="168">
        <v>661000</v>
      </c>
      <c r="JQ77" s="168">
        <v>4872444</v>
      </c>
      <c r="JR77" s="168">
        <v>-975127</v>
      </c>
      <c r="JS77" s="168">
        <v>-251979</v>
      </c>
      <c r="JT77" s="168">
        <v>121055</v>
      </c>
      <c r="JU77" s="168">
        <v>22680655</v>
      </c>
      <c r="JV77" s="21"/>
      <c r="JW77" s="168">
        <v>185791763</v>
      </c>
      <c r="JX77" s="168">
        <v>253795656</v>
      </c>
      <c r="JY77" s="21"/>
      <c r="JZ77" s="21"/>
      <c r="KA77" s="21"/>
      <c r="KB77" s="21"/>
      <c r="KC77" s="21"/>
      <c r="KD77" s="21"/>
      <c r="KE77" s="168">
        <v>7776373</v>
      </c>
      <c r="KF77" s="168">
        <v>6946100</v>
      </c>
      <c r="KG77" s="168">
        <v>22680655</v>
      </c>
      <c r="KH77" s="21"/>
      <c r="KI77" s="168">
        <v>178015390</v>
      </c>
      <c r="KJ77" s="168">
        <v>246849556</v>
      </c>
      <c r="KK77" s="21"/>
      <c r="KL77" s="21"/>
      <c r="KM77" s="21"/>
      <c r="KN77" s="21"/>
      <c r="KO77" s="21"/>
      <c r="KP77" s="21"/>
      <c r="KQ77" s="168">
        <v>21889688</v>
      </c>
      <c r="KR77" s="168">
        <v>20983506</v>
      </c>
      <c r="KS77" s="21"/>
      <c r="KT77" s="21"/>
      <c r="KU77" s="168">
        <v>23685564</v>
      </c>
      <c r="KV77" s="168">
        <v>23682292</v>
      </c>
      <c r="KW77" s="21"/>
      <c r="KX77" s="21"/>
      <c r="KY77" s="168">
        <v>4685</v>
      </c>
      <c r="KZ77" s="168">
        <v>5211</v>
      </c>
      <c r="LA77" s="168">
        <v>7399900</v>
      </c>
      <c r="LB77" s="168">
        <v>7415240</v>
      </c>
      <c r="LC77" s="21"/>
      <c r="LD77" s="21"/>
      <c r="LE77" s="168">
        <v>-472</v>
      </c>
      <c r="LF77" s="168">
        <v>39</v>
      </c>
      <c r="LG77" s="21"/>
      <c r="LH77" s="21"/>
      <c r="LI77" s="168">
        <v>3001268</v>
      </c>
      <c r="LJ77" s="168">
        <v>2997846</v>
      </c>
      <c r="LK77" s="168">
        <v>8906128</v>
      </c>
      <c r="LL77" s="168">
        <v>13779111</v>
      </c>
      <c r="LM77" s="168">
        <v>62955</v>
      </c>
      <c r="LN77" s="168">
        <v>729301</v>
      </c>
      <c r="LO77" s="21"/>
      <c r="LP77" s="21"/>
      <c r="LQ77" s="21"/>
      <c r="LR77" s="21"/>
      <c r="LS77" s="21"/>
      <c r="LT77" s="21"/>
      <c r="LU77" s="21"/>
      <c r="LV77" s="21"/>
      <c r="LW77" s="168">
        <v>1140893</v>
      </c>
      <c r="LX77" s="168">
        <v>1140893</v>
      </c>
      <c r="LY77" s="21"/>
      <c r="LZ77" s="21"/>
      <c r="MA77" s="168">
        <v>15721191</v>
      </c>
      <c r="MB77" s="168">
        <v>31569477</v>
      </c>
      <c r="MC77" s="168">
        <v>105849</v>
      </c>
      <c r="MD77" s="168">
        <v>125649</v>
      </c>
      <c r="ME77" s="21"/>
      <c r="MF77" s="21"/>
      <c r="MG77" s="168">
        <v>231484</v>
      </c>
      <c r="MH77" s="168">
        <v>265796</v>
      </c>
      <c r="MI77" s="168">
        <v>844613</v>
      </c>
      <c r="MJ77" s="168">
        <v>844613</v>
      </c>
      <c r="MK77" s="21"/>
      <c r="ML77" s="21"/>
      <c r="MM77" s="168">
        <v>1518628</v>
      </c>
      <c r="MN77" s="168">
        <v>1205469</v>
      </c>
      <c r="MO77" s="168">
        <v>1325105</v>
      </c>
      <c r="MP77" s="168">
        <v>1391802</v>
      </c>
      <c r="MQ77" s="168">
        <v>1300437</v>
      </c>
      <c r="MR77" s="168">
        <v>1249596</v>
      </c>
      <c r="MS77" s="21"/>
      <c r="MT77" s="21"/>
      <c r="MU77" s="168">
        <v>583960</v>
      </c>
      <c r="MV77" s="168">
        <v>583960</v>
      </c>
      <c r="MW77" s="168">
        <v>4537669</v>
      </c>
      <c r="MX77" s="168">
        <v>4368344</v>
      </c>
      <c r="MY77" s="168">
        <v>11950503</v>
      </c>
      <c r="MZ77" s="168">
        <v>11950503</v>
      </c>
      <c r="NA77" s="168">
        <v>7160539</v>
      </c>
      <c r="NB77" s="168">
        <v>7016662</v>
      </c>
      <c r="NC77" s="168">
        <v>1302581</v>
      </c>
      <c r="ND77" s="168">
        <v>1796775</v>
      </c>
      <c r="NE77" s="21"/>
      <c r="NF77" s="21"/>
      <c r="NG77" s="168">
        <v>60126963</v>
      </c>
      <c r="NH77" s="168">
        <v>60211599</v>
      </c>
      <c r="NI77" s="21"/>
      <c r="NJ77" s="21"/>
      <c r="NK77" s="168">
        <v>148760</v>
      </c>
      <c r="NL77" s="168">
        <v>149332</v>
      </c>
      <c r="NM77" s="168">
        <v>51210392</v>
      </c>
      <c r="NN77" s="168">
        <v>71395570</v>
      </c>
      <c r="NO77" s="168">
        <v>114343139</v>
      </c>
      <c r="NP77" s="168">
        <v>134663696</v>
      </c>
      <c r="NQ77" s="168" t="s">
        <v>1325</v>
      </c>
      <c r="NR77" s="168" t="s">
        <v>775</v>
      </c>
      <c r="NS77" s="168" t="s">
        <v>770</v>
      </c>
      <c r="NT77" s="168" t="s">
        <v>771</v>
      </c>
      <c r="NU77" s="168">
        <v>6002</v>
      </c>
      <c r="NV77" s="168" t="s">
        <v>2104</v>
      </c>
      <c r="NW77" s="168" t="s">
        <v>28</v>
      </c>
      <c r="NX77" s="168" t="s">
        <v>25</v>
      </c>
      <c r="NY77" s="169">
        <v>42916</v>
      </c>
      <c r="NZ77" s="169">
        <v>42551</v>
      </c>
      <c r="OA77" s="169">
        <v>43124</v>
      </c>
      <c r="OB77" s="168" t="s">
        <v>1326</v>
      </c>
      <c r="OC77" s="168">
        <v>12</v>
      </c>
      <c r="OD77" s="168" t="s">
        <v>2105</v>
      </c>
      <c r="OE77" s="168" t="s">
        <v>2115</v>
      </c>
      <c r="OF77" s="168" t="s">
        <v>2463</v>
      </c>
      <c r="OG77" s="168" t="s">
        <v>1970</v>
      </c>
      <c r="OH77" s="168" t="s">
        <v>996</v>
      </c>
      <c r="OI77" s="168" t="s">
        <v>766</v>
      </c>
      <c r="OJ77" s="168" t="s">
        <v>3240</v>
      </c>
      <c r="OK77" s="168" t="s">
        <v>773</v>
      </c>
    </row>
    <row r="78" spans="1:401" x14ac:dyDescent="0.2">
      <c r="A78" s="170" t="str">
        <f>Liste[[#This Row],[Siren]]</f>
        <v>393582614</v>
      </c>
      <c r="B78" s="198" t="str">
        <f>Liste[[#This Row],[Dénomination]]&amp;" - comptes "&amp;YEAR(Liste[[#This Row],[Date de cloture de l''exercice]])</f>
        <v>HAURION - comptes 2017</v>
      </c>
      <c r="C78" s="21"/>
      <c r="D78" s="21"/>
      <c r="E78" s="21"/>
      <c r="F78" s="168">
        <v>2487374</v>
      </c>
      <c r="G78" s="168">
        <v>1826657</v>
      </c>
      <c r="H78" s="21"/>
      <c r="I78" s="21"/>
      <c r="J78" s="168">
        <v>1195010</v>
      </c>
      <c r="K78" s="168">
        <v>961748</v>
      </c>
      <c r="L78" s="21"/>
      <c r="M78" s="21"/>
      <c r="N78" s="168">
        <v>113081</v>
      </c>
      <c r="O78" s="168">
        <v>106942</v>
      </c>
      <c r="P78" s="21"/>
      <c r="Q78" s="21"/>
      <c r="R78" s="168">
        <v>2253</v>
      </c>
      <c r="S78" s="168">
        <v>4505</v>
      </c>
      <c r="T78" s="21"/>
      <c r="U78" s="21"/>
      <c r="V78" s="21"/>
      <c r="W78" s="21"/>
      <c r="X78" s="21"/>
      <c r="Y78" s="21"/>
      <c r="Z78" s="168">
        <v>152</v>
      </c>
      <c r="AA78" s="168">
        <v>152</v>
      </c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168">
        <v>93041</v>
      </c>
      <c r="AM78" s="168">
        <v>79813</v>
      </c>
      <c r="AN78" s="21"/>
      <c r="AO78" s="21"/>
      <c r="AP78" s="21"/>
      <c r="AQ78" s="21"/>
      <c r="AR78" s="21"/>
      <c r="AS78" s="168">
        <v>120000</v>
      </c>
      <c r="AT78" s="168">
        <v>120000</v>
      </c>
      <c r="AU78" s="21"/>
      <c r="AV78" s="21"/>
      <c r="AW78" s="21"/>
      <c r="AX78" s="21"/>
      <c r="AY78" s="21"/>
      <c r="AZ78" s="168">
        <v>2462643</v>
      </c>
      <c r="BA78" s="168">
        <v>1829235</v>
      </c>
      <c r="BB78" s="21"/>
      <c r="BC78" s="21"/>
      <c r="BD78" s="168">
        <v>15607515</v>
      </c>
      <c r="BE78" s="168">
        <v>15484564</v>
      </c>
      <c r="BF78" s="21"/>
      <c r="BG78" s="21"/>
      <c r="BH78" s="168">
        <v>496498</v>
      </c>
      <c r="BI78" s="168">
        <v>505758</v>
      </c>
      <c r="BJ78" s="21"/>
      <c r="BK78" s="21"/>
      <c r="BL78" s="168">
        <v>3150246</v>
      </c>
      <c r="BM78" s="168">
        <v>2260572</v>
      </c>
      <c r="BN78" s="21"/>
      <c r="BO78" s="21"/>
      <c r="BP78" s="168">
        <v>162235</v>
      </c>
      <c r="BQ78" s="168">
        <v>11434</v>
      </c>
      <c r="BR78" s="21"/>
      <c r="BS78" s="21"/>
      <c r="BT78" s="21"/>
      <c r="BU78" s="21"/>
      <c r="BV78" s="21"/>
      <c r="BW78" s="21"/>
      <c r="BX78" s="168">
        <v>7034884</v>
      </c>
      <c r="BY78" s="168">
        <v>7846497</v>
      </c>
      <c r="BZ78" s="21"/>
      <c r="CA78" s="21"/>
      <c r="CB78" s="21"/>
      <c r="CC78" s="21"/>
      <c r="CD78" s="21"/>
      <c r="CE78" s="168">
        <v>4757068</v>
      </c>
      <c r="CF78" s="168">
        <v>2655233</v>
      </c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168">
        <v>2088832</v>
      </c>
      <c r="CS78" s="21"/>
      <c r="CT78" s="21"/>
      <c r="CU78" s="168">
        <v>85573</v>
      </c>
      <c r="CV78" s="168">
        <v>74742</v>
      </c>
      <c r="CW78" s="21"/>
      <c r="CX78" s="21"/>
      <c r="CY78" s="21"/>
      <c r="CZ78" s="21"/>
      <c r="DA78" s="21"/>
      <c r="DB78" s="21"/>
      <c r="DC78" s="168">
        <v>1476</v>
      </c>
      <c r="DD78" s="168">
        <v>16991</v>
      </c>
      <c r="DE78" s="21"/>
      <c r="DF78" s="21"/>
      <c r="DG78" s="168">
        <v>407979</v>
      </c>
      <c r="DH78" s="168">
        <v>322953</v>
      </c>
      <c r="DI78" s="21"/>
      <c r="DJ78" s="21"/>
      <c r="DK78" s="168">
        <v>17348913</v>
      </c>
      <c r="DL78" s="168">
        <v>16696822</v>
      </c>
      <c r="DM78" s="21"/>
      <c r="DN78" s="21"/>
      <c r="DO78" s="168">
        <v>949861</v>
      </c>
      <c r="DP78" s="168">
        <v>854599</v>
      </c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168">
        <v>103025</v>
      </c>
      <c r="EE78" s="168">
        <v>118385</v>
      </c>
      <c r="EF78" s="21"/>
      <c r="EG78" s="21"/>
      <c r="EH78" s="21"/>
      <c r="EI78" s="21"/>
      <c r="EJ78" s="21"/>
      <c r="EK78" s="21"/>
      <c r="EL78" s="168">
        <v>6046147</v>
      </c>
      <c r="EM78" s="168">
        <v>6796797</v>
      </c>
      <c r="EN78" s="21"/>
      <c r="EO78" s="21"/>
      <c r="EP78" s="168">
        <v>46747052</v>
      </c>
      <c r="EQ78" s="168">
        <v>45332278</v>
      </c>
      <c r="ER78" s="21"/>
      <c r="ES78" s="21"/>
      <c r="ET78" s="168">
        <v>57670267</v>
      </c>
      <c r="EU78" s="168">
        <v>54904308</v>
      </c>
      <c r="EV78" s="21"/>
      <c r="EW78" s="21"/>
      <c r="EX78" s="168">
        <v>431644</v>
      </c>
      <c r="EY78" s="168">
        <v>442168</v>
      </c>
      <c r="EZ78" s="21"/>
      <c r="FA78" s="21"/>
      <c r="FB78" s="21"/>
      <c r="FC78" s="21"/>
      <c r="FD78" s="21"/>
      <c r="FE78" s="21"/>
      <c r="FF78" s="21"/>
      <c r="FG78" s="21"/>
      <c r="FH78" s="21"/>
      <c r="FI78" s="168">
        <v>-148131</v>
      </c>
      <c r="FJ78" s="168">
        <v>314146</v>
      </c>
      <c r="FK78" s="21"/>
      <c r="FL78" s="21"/>
      <c r="FM78" s="168">
        <v>179757</v>
      </c>
      <c r="FN78" s="168">
        <v>34558</v>
      </c>
      <c r="FO78" s="168">
        <v>8798</v>
      </c>
      <c r="FP78" s="168">
        <v>783</v>
      </c>
      <c r="FQ78" s="21"/>
      <c r="FR78" s="168">
        <v>563833</v>
      </c>
      <c r="FS78" s="21"/>
      <c r="FT78" s="21"/>
      <c r="FU78" s="168">
        <v>-14474</v>
      </c>
      <c r="FV78" s="168">
        <v>43148</v>
      </c>
      <c r="FW78" s="168">
        <v>405764</v>
      </c>
      <c r="FX78" s="168">
        <v>753817</v>
      </c>
      <c r="FY78" s="168">
        <v>234310</v>
      </c>
      <c r="FZ78" s="168">
        <v>214515</v>
      </c>
      <c r="GA78" s="21"/>
      <c r="GB78" s="21"/>
      <c r="GC78" s="168">
        <v>31507</v>
      </c>
      <c r="GD78" s="168">
        <v>337629</v>
      </c>
      <c r="GE78" s="168">
        <v>8917</v>
      </c>
      <c r="GF78" s="168">
        <v>11858</v>
      </c>
      <c r="GG78" s="21"/>
      <c r="GH78" s="21"/>
      <c r="GI78" s="21"/>
      <c r="GJ78" s="21"/>
      <c r="GK78" s="21"/>
      <c r="GL78" s="21"/>
      <c r="GM78" s="168">
        <v>1360291</v>
      </c>
      <c r="GN78" s="168">
        <v>1358958</v>
      </c>
      <c r="GO78" s="168">
        <v>1360291</v>
      </c>
      <c r="GP78" s="168">
        <v>1922791</v>
      </c>
      <c r="GQ78" s="21"/>
      <c r="GR78" s="21"/>
      <c r="GS78" s="168">
        <v>1125981</v>
      </c>
      <c r="GT78" s="168">
        <v>1144443</v>
      </c>
      <c r="GU78" s="168">
        <v>188555</v>
      </c>
      <c r="GV78" s="168">
        <v>35341</v>
      </c>
      <c r="GW78" s="168">
        <v>40424</v>
      </c>
      <c r="GX78" s="168">
        <v>349487</v>
      </c>
      <c r="GY78" s="168">
        <v>53371799</v>
      </c>
      <c r="GZ78" s="168">
        <v>48378249</v>
      </c>
      <c r="HA78" s="168">
        <v>1598273</v>
      </c>
      <c r="HB78" s="168">
        <v>2070365</v>
      </c>
      <c r="HC78" s="168">
        <v>12558354</v>
      </c>
      <c r="HD78" s="168">
        <v>12438548</v>
      </c>
      <c r="HE78" s="168">
        <v>90870</v>
      </c>
      <c r="HF78" s="168">
        <v>99485</v>
      </c>
      <c r="HG78" s="168">
        <v>233454</v>
      </c>
      <c r="HH78" s="168">
        <v>164555</v>
      </c>
      <c r="HI78" s="168">
        <v>63019</v>
      </c>
      <c r="HJ78" s="168">
        <v>28541</v>
      </c>
      <c r="HK78" s="21"/>
      <c r="HL78" s="21"/>
      <c r="HM78" s="21"/>
      <c r="HN78" s="21"/>
      <c r="HO78" s="168">
        <v>3810897</v>
      </c>
      <c r="HP78" s="168">
        <v>3773291</v>
      </c>
      <c r="HQ78" s="168">
        <v>182833</v>
      </c>
      <c r="HR78" s="168">
        <v>202671</v>
      </c>
      <c r="HS78" s="168">
        <v>215914</v>
      </c>
      <c r="HT78" s="168">
        <v>278513</v>
      </c>
      <c r="HU78" s="168">
        <v>698647</v>
      </c>
      <c r="HV78" s="168">
        <v>854791</v>
      </c>
      <c r="HW78" s="21"/>
      <c r="HX78" s="21"/>
      <c r="HY78" s="168">
        <v>19084</v>
      </c>
      <c r="HZ78" s="168">
        <v>122333</v>
      </c>
      <c r="IA78" s="168">
        <v>360652</v>
      </c>
      <c r="IB78" s="168">
        <v>308698</v>
      </c>
      <c r="IC78" s="21"/>
      <c r="ID78" s="21"/>
      <c r="IE78" s="168">
        <v>951214</v>
      </c>
      <c r="IF78" s="168">
        <v>940786</v>
      </c>
      <c r="IG78" s="168">
        <v>711702</v>
      </c>
      <c r="IH78" s="168">
        <v>763211</v>
      </c>
      <c r="II78" s="21"/>
      <c r="IJ78" s="21"/>
      <c r="IK78" s="21"/>
      <c r="IL78" s="21"/>
      <c r="IM78" s="168">
        <v>-15360</v>
      </c>
      <c r="IN78" s="168">
        <v>19687</v>
      </c>
      <c r="IO78" s="168">
        <v>31685</v>
      </c>
      <c r="IP78" s="168">
        <v>50653</v>
      </c>
      <c r="IQ78" s="21"/>
      <c r="IR78" s="21"/>
      <c r="IS78" s="21"/>
      <c r="IT78" s="21"/>
      <c r="IU78" s="168">
        <v>1899712</v>
      </c>
      <c r="IV78" s="168">
        <v>2405610</v>
      </c>
      <c r="IW78" s="168">
        <v>2313193</v>
      </c>
      <c r="IX78" s="168">
        <v>2877771</v>
      </c>
      <c r="IY78" s="168">
        <v>-413481</v>
      </c>
      <c r="IZ78" s="168">
        <v>-472161</v>
      </c>
      <c r="JA78" s="168">
        <v>417974</v>
      </c>
      <c r="JB78" s="168">
        <v>493915</v>
      </c>
      <c r="JC78" s="21"/>
      <c r="JD78" s="21"/>
      <c r="JE78" s="168">
        <v>11725800</v>
      </c>
      <c r="JF78" s="168">
        <v>11682557</v>
      </c>
      <c r="JG78" s="21"/>
      <c r="JH78" s="21"/>
      <c r="JI78" s="168">
        <v>84729821</v>
      </c>
      <c r="JJ78" s="168">
        <v>85748658</v>
      </c>
      <c r="JK78" s="168">
        <v>894534</v>
      </c>
      <c r="JL78" s="168">
        <v>965882</v>
      </c>
      <c r="JM78" s="168">
        <v>87043014</v>
      </c>
      <c r="JN78" s="168">
        <v>88626429</v>
      </c>
      <c r="JO78" s="168">
        <v>481053</v>
      </c>
      <c r="JP78" s="168">
        <v>493721</v>
      </c>
      <c r="JQ78" s="168">
        <v>-360506</v>
      </c>
      <c r="JR78" s="168">
        <v>4798891</v>
      </c>
      <c r="JS78" s="168">
        <v>-95263</v>
      </c>
      <c r="JT78" s="168">
        <v>280664</v>
      </c>
      <c r="JU78" s="168">
        <v>19229150</v>
      </c>
      <c r="JV78" s="168">
        <v>67348231</v>
      </c>
      <c r="JW78" s="168">
        <v>86577381</v>
      </c>
      <c r="JX78" s="168">
        <v>88084286</v>
      </c>
      <c r="JY78" s="168">
        <v>25878</v>
      </c>
      <c r="JZ78" s="168">
        <v>818669</v>
      </c>
      <c r="KA78" s="168">
        <v>844547</v>
      </c>
      <c r="KB78" s="168">
        <v>1106562</v>
      </c>
      <c r="KC78" s="168">
        <v>100844</v>
      </c>
      <c r="KD78" s="168">
        <v>743255</v>
      </c>
      <c r="KE78" s="168">
        <v>844099</v>
      </c>
      <c r="KF78" s="168">
        <v>761421</v>
      </c>
      <c r="KG78" s="168">
        <v>19102428</v>
      </c>
      <c r="KH78" s="168">
        <v>65786307</v>
      </c>
      <c r="KI78" s="168">
        <v>84888735</v>
      </c>
      <c r="KJ78" s="168">
        <v>86216303</v>
      </c>
      <c r="KK78" s="21"/>
      <c r="KL78" s="21"/>
      <c r="KM78" s="21"/>
      <c r="KN78" s="21"/>
      <c r="KO78" s="21"/>
      <c r="KP78" s="21"/>
      <c r="KQ78" s="168">
        <v>1196092</v>
      </c>
      <c r="KR78" s="168">
        <v>758211</v>
      </c>
      <c r="KS78" s="21"/>
      <c r="KT78" s="21"/>
      <c r="KU78" s="168">
        <v>1719737</v>
      </c>
      <c r="KV78" s="168">
        <v>1795047</v>
      </c>
      <c r="KW78" s="21"/>
      <c r="KX78" s="21"/>
      <c r="KY78" s="21"/>
      <c r="KZ78" s="21"/>
      <c r="LA78" s="168">
        <v>12319050</v>
      </c>
      <c r="LB78" s="168">
        <v>12319050</v>
      </c>
      <c r="LC78" s="21"/>
      <c r="LD78" s="21"/>
      <c r="LE78" s="168">
        <v>234310</v>
      </c>
      <c r="LF78" s="168">
        <v>214515</v>
      </c>
      <c r="LG78" s="21"/>
      <c r="LH78" s="21"/>
      <c r="LI78" s="168">
        <v>3582440</v>
      </c>
      <c r="LJ78" s="168">
        <v>3488833</v>
      </c>
      <c r="LK78" s="168">
        <v>11820769</v>
      </c>
      <c r="LL78" s="168">
        <v>10866054</v>
      </c>
      <c r="LM78" s="21"/>
      <c r="LN78" s="21"/>
      <c r="LO78" s="21"/>
      <c r="LP78" s="21"/>
      <c r="LQ78" s="21"/>
      <c r="LR78" s="21"/>
      <c r="LS78" s="21"/>
      <c r="LT78" s="21"/>
      <c r="LU78" s="21"/>
      <c r="LV78" s="21"/>
      <c r="LW78" s="21"/>
      <c r="LX78" s="21"/>
      <c r="LY78" s="168">
        <v>443762</v>
      </c>
      <c r="LZ78" s="168">
        <v>443762</v>
      </c>
      <c r="MA78" s="168">
        <v>2922896</v>
      </c>
      <c r="MB78" s="168">
        <v>2939577</v>
      </c>
      <c r="MC78" s="21"/>
      <c r="MD78" s="21"/>
      <c r="ME78" s="21"/>
      <c r="MF78" s="21"/>
      <c r="MG78" s="168">
        <v>149250</v>
      </c>
      <c r="MH78" s="168">
        <v>99634</v>
      </c>
      <c r="MI78" s="168">
        <v>2100636</v>
      </c>
      <c r="MJ78" s="168">
        <v>2100636</v>
      </c>
      <c r="MK78" s="21"/>
      <c r="ML78" s="21"/>
      <c r="MM78" s="21"/>
      <c r="MN78" s="21"/>
      <c r="MO78" s="168">
        <v>1219803</v>
      </c>
      <c r="MP78" s="168">
        <v>1217133</v>
      </c>
      <c r="MQ78" s="168">
        <v>17139</v>
      </c>
      <c r="MR78" s="168">
        <v>84592</v>
      </c>
      <c r="MS78" s="21"/>
      <c r="MT78" s="21"/>
      <c r="MU78" s="21"/>
      <c r="MV78" s="21"/>
      <c r="MW78" s="168">
        <v>201409</v>
      </c>
      <c r="MX78" s="168">
        <v>199057</v>
      </c>
      <c r="MY78" s="21"/>
      <c r="MZ78" s="21"/>
      <c r="NA78" s="21"/>
      <c r="NB78" s="21"/>
      <c r="NC78" s="168">
        <v>1125981</v>
      </c>
      <c r="ND78" s="168">
        <v>1144443</v>
      </c>
      <c r="NE78" s="21"/>
      <c r="NF78" s="21"/>
      <c r="NG78" s="168">
        <v>24645072</v>
      </c>
      <c r="NH78" s="168">
        <v>23596511</v>
      </c>
      <c r="NI78" s="21"/>
      <c r="NJ78" s="21"/>
      <c r="NK78" s="168">
        <v>6616471</v>
      </c>
      <c r="NL78" s="168">
        <v>6365110</v>
      </c>
      <c r="NM78" s="168">
        <v>19544692</v>
      </c>
      <c r="NN78" s="168">
        <v>18063486</v>
      </c>
      <c r="NO78" s="168">
        <v>57670267</v>
      </c>
      <c r="NP78" s="168">
        <v>54904308</v>
      </c>
      <c r="NQ78" s="168" t="s">
        <v>1141</v>
      </c>
      <c r="NR78" s="168" t="s">
        <v>769</v>
      </c>
      <c r="NS78" s="168" t="s">
        <v>770</v>
      </c>
      <c r="NT78" s="168" t="s">
        <v>771</v>
      </c>
      <c r="NU78" s="168">
        <v>1708</v>
      </c>
      <c r="NV78" s="168" t="s">
        <v>2104</v>
      </c>
      <c r="NW78" s="168" t="s">
        <v>28</v>
      </c>
      <c r="NX78" s="168" t="s">
        <v>25</v>
      </c>
      <c r="NY78" s="169">
        <v>42916</v>
      </c>
      <c r="NZ78" s="169">
        <v>42551</v>
      </c>
      <c r="OA78" s="169">
        <v>43118</v>
      </c>
      <c r="OB78" s="168" t="s">
        <v>1142</v>
      </c>
      <c r="OC78" s="168">
        <v>12</v>
      </c>
      <c r="OD78" s="168" t="s">
        <v>2105</v>
      </c>
      <c r="OE78" s="168" t="s">
        <v>2169</v>
      </c>
      <c r="OF78" s="168" t="s">
        <v>2329</v>
      </c>
      <c r="OG78" s="168" t="s">
        <v>1899</v>
      </c>
      <c r="OH78" s="168" t="s">
        <v>783</v>
      </c>
      <c r="OI78" s="168" t="s">
        <v>766</v>
      </c>
      <c r="OJ78" s="168" t="s">
        <v>3240</v>
      </c>
      <c r="OK78" s="168" t="s">
        <v>767</v>
      </c>
    </row>
    <row r="79" spans="1:401" x14ac:dyDescent="0.2">
      <c r="A79" s="170" t="str">
        <f>Liste[[#This Row],[Siren]]</f>
        <v>442465084</v>
      </c>
      <c r="B79" s="198" t="str">
        <f>Liste[[#This Row],[Dénomination]]&amp;" - comptes "&amp;YEAR(Liste[[#This Row],[Date de cloture de l''exercice]])</f>
        <v>LACROIX PARTICIPATIONS ET SERVICES (en abrégé L.P.S) - comptes 2017</v>
      </c>
      <c r="C79" s="21"/>
      <c r="D79" s="21"/>
      <c r="E79" s="168">
        <v>3000</v>
      </c>
      <c r="F79" s="168">
        <v>6494000</v>
      </c>
      <c r="G79" s="168">
        <v>6283000</v>
      </c>
      <c r="H79" s="168">
        <v>6497000</v>
      </c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168">
        <v>802000</v>
      </c>
      <c r="BA79" s="168">
        <v>694000</v>
      </c>
      <c r="BB79" s="168">
        <v>802000</v>
      </c>
      <c r="BC79" s="168">
        <v>270000</v>
      </c>
      <c r="BD79" s="168">
        <v>31495000</v>
      </c>
      <c r="BE79" s="168">
        <v>39723000</v>
      </c>
      <c r="BF79" s="168">
        <v>31766000</v>
      </c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168">
        <v>19860000</v>
      </c>
      <c r="CE79" s="168">
        <v>3341000</v>
      </c>
      <c r="CF79" s="168">
        <v>4397000</v>
      </c>
      <c r="CG79" s="168">
        <v>23201000</v>
      </c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168">
        <v>101567000</v>
      </c>
      <c r="EL79" s="168">
        <v>134874000</v>
      </c>
      <c r="EM79" s="168">
        <v>141511000</v>
      </c>
      <c r="EN79" s="168">
        <v>236441000</v>
      </c>
      <c r="EO79" s="168">
        <v>274000</v>
      </c>
      <c r="EP79" s="168">
        <v>69375000</v>
      </c>
      <c r="EQ79" s="168">
        <v>67745000</v>
      </c>
      <c r="ER79" s="168">
        <v>69649000</v>
      </c>
      <c r="ES79" s="168">
        <v>101842000</v>
      </c>
      <c r="ET79" s="168">
        <v>204248000</v>
      </c>
      <c r="EU79" s="168">
        <v>209256000</v>
      </c>
      <c r="EV79" s="168">
        <v>306090000</v>
      </c>
      <c r="EW79" s="21"/>
      <c r="EX79" s="21"/>
      <c r="EY79" s="21"/>
      <c r="EZ79" s="21"/>
      <c r="FA79" s="21"/>
      <c r="FB79" s="168">
        <v>2239000</v>
      </c>
      <c r="FC79" s="168">
        <v>1263000</v>
      </c>
      <c r="FD79" s="168">
        <v>2239000</v>
      </c>
      <c r="FE79" s="21"/>
      <c r="FF79" s="21"/>
      <c r="FG79" s="21"/>
      <c r="FH79" s="21"/>
      <c r="FI79" s="168">
        <v>27000</v>
      </c>
      <c r="FJ79" s="168">
        <v>55000</v>
      </c>
      <c r="FK79" s="21"/>
      <c r="FL79" s="21"/>
      <c r="FM79" s="21"/>
      <c r="FN79" s="21"/>
      <c r="FO79" s="21"/>
      <c r="FP79" s="21"/>
      <c r="FQ79" s="168">
        <v>-1118000</v>
      </c>
      <c r="FR79" s="168">
        <v>-1231000</v>
      </c>
      <c r="FS79" s="21"/>
      <c r="FT79" s="21"/>
      <c r="FU79" s="21"/>
      <c r="FV79" s="21"/>
      <c r="FW79" s="168">
        <v>1053000</v>
      </c>
      <c r="FX79" s="168">
        <v>2409000</v>
      </c>
      <c r="FY79" s="168">
        <v>-8000</v>
      </c>
      <c r="FZ79" s="168">
        <v>-10000</v>
      </c>
      <c r="GA79" s="21"/>
      <c r="GB79" s="21"/>
      <c r="GC79" s="21"/>
      <c r="GD79" s="21"/>
      <c r="GE79" s="21"/>
      <c r="GF79" s="21"/>
      <c r="GG79" s="21"/>
      <c r="GH79" s="21"/>
      <c r="GI79" s="21"/>
      <c r="GJ79" s="21"/>
      <c r="GK79" s="21"/>
      <c r="GL79" s="21"/>
      <c r="GM79" s="21"/>
      <c r="GN79" s="21"/>
      <c r="GO79" s="168">
        <v>7362000</v>
      </c>
      <c r="GP79" s="168">
        <v>9340000</v>
      </c>
      <c r="GQ79" s="168">
        <v>59000</v>
      </c>
      <c r="GR79" s="168">
        <v>185000</v>
      </c>
      <c r="GS79" s="168">
        <v>6295000</v>
      </c>
      <c r="GT79" s="168">
        <v>8284000</v>
      </c>
      <c r="GU79" s="21"/>
      <c r="GV79" s="21"/>
      <c r="GW79" s="21"/>
      <c r="GX79" s="21"/>
      <c r="GY79" s="21"/>
      <c r="GZ79" s="21"/>
      <c r="HA79" s="21"/>
      <c r="HB79" s="21"/>
      <c r="HC79" s="21"/>
      <c r="HD79" s="21"/>
      <c r="HE79" s="168">
        <v>8759000</v>
      </c>
      <c r="HF79" s="168">
        <v>7618000</v>
      </c>
      <c r="HG79" s="21"/>
      <c r="HH79" s="21"/>
      <c r="HI79" s="168">
        <v>10393000</v>
      </c>
      <c r="HJ79" s="168">
        <v>84950000</v>
      </c>
      <c r="HK79" s="21"/>
      <c r="HL79" s="21"/>
      <c r="HM79" s="21"/>
      <c r="HN79" s="21"/>
      <c r="HO79" s="21"/>
      <c r="HP79" s="21"/>
      <c r="HQ79" s="21"/>
      <c r="HR79" s="21"/>
      <c r="HS79" s="21"/>
      <c r="HT79" s="21"/>
      <c r="HU79" s="21"/>
      <c r="HV79" s="21"/>
      <c r="HW79" s="21"/>
      <c r="HX79" s="21"/>
      <c r="HY79" s="21"/>
      <c r="HZ79" s="21"/>
      <c r="IA79" s="21"/>
      <c r="IB79" s="21"/>
      <c r="IC79" s="21"/>
      <c r="ID79" s="21"/>
      <c r="IE79" s="168">
        <v>4185000</v>
      </c>
      <c r="IF79" s="168">
        <v>4390000</v>
      </c>
      <c r="IG79" s="21"/>
      <c r="IH79" s="21"/>
      <c r="II79" s="21"/>
      <c r="IJ79" s="21"/>
      <c r="IK79" s="21"/>
      <c r="IL79" s="21"/>
      <c r="IM79" s="21"/>
      <c r="IN79" s="21"/>
      <c r="IO79" s="21"/>
      <c r="IP79" s="21"/>
      <c r="IQ79" s="21"/>
      <c r="IR79" s="21"/>
      <c r="IS79" s="21"/>
      <c r="IT79" s="21"/>
      <c r="IU79" s="168">
        <v>8388000</v>
      </c>
      <c r="IV79" s="168">
        <v>11694000</v>
      </c>
      <c r="IW79" s="168">
        <v>8841000</v>
      </c>
      <c r="IX79" s="168">
        <v>12022000</v>
      </c>
      <c r="IY79" s="168">
        <v>-453000</v>
      </c>
      <c r="IZ79" s="168">
        <v>-327000</v>
      </c>
      <c r="JA79" s="21"/>
      <c r="JB79" s="21"/>
      <c r="JC79" s="21"/>
      <c r="JD79" s="21"/>
      <c r="JE79" s="21"/>
      <c r="JF79" s="21"/>
      <c r="JG79" s="21"/>
      <c r="JH79" s="21"/>
      <c r="JI79" s="168">
        <v>108133000</v>
      </c>
      <c r="JJ79" s="168">
        <v>175818000</v>
      </c>
      <c r="JK79" s="168">
        <v>640000</v>
      </c>
      <c r="JL79" s="168">
        <v>760000</v>
      </c>
      <c r="JM79" s="168">
        <v>116974000</v>
      </c>
      <c r="JN79" s="168">
        <v>187840000</v>
      </c>
      <c r="JO79" s="168">
        <v>187000</v>
      </c>
      <c r="JP79" s="168">
        <v>433000</v>
      </c>
      <c r="JQ79" s="21"/>
      <c r="JR79" s="21"/>
      <c r="JS79" s="21"/>
      <c r="JT79" s="21"/>
      <c r="JU79" s="21"/>
      <c r="JV79" s="21"/>
      <c r="JW79" s="168">
        <v>106581000</v>
      </c>
      <c r="JX79" s="168">
        <v>102890000</v>
      </c>
      <c r="JY79" s="21"/>
      <c r="JZ79" s="21"/>
      <c r="KA79" s="21"/>
      <c r="KB79" s="21"/>
      <c r="KC79" s="21"/>
      <c r="KD79" s="21"/>
      <c r="KE79" s="21"/>
      <c r="KF79" s="21"/>
      <c r="KG79" s="21"/>
      <c r="KH79" s="21"/>
      <c r="KI79" s="21"/>
      <c r="KJ79" s="21"/>
      <c r="KK79" s="21"/>
      <c r="KL79" s="21"/>
      <c r="KM79" s="21"/>
      <c r="KN79" s="21"/>
      <c r="KO79" s="21"/>
      <c r="KP79" s="21"/>
      <c r="KQ79" s="168">
        <v>29902000</v>
      </c>
      <c r="KR79" s="168">
        <v>34506000</v>
      </c>
      <c r="KS79" s="21"/>
      <c r="KT79" s="21"/>
      <c r="KU79" s="21"/>
      <c r="KV79" s="21"/>
      <c r="KW79" s="21"/>
      <c r="KX79" s="21"/>
      <c r="KY79" s="21"/>
      <c r="KZ79" s="21"/>
      <c r="LA79" s="168">
        <v>25439000</v>
      </c>
      <c r="LB79" s="168">
        <v>25439000</v>
      </c>
      <c r="LC79" s="21"/>
      <c r="LD79" s="21"/>
      <c r="LE79" s="21"/>
      <c r="LF79" s="21"/>
      <c r="LG79" s="21"/>
      <c r="LH79" s="21"/>
      <c r="LI79" s="21"/>
      <c r="LJ79" s="21"/>
      <c r="LK79" s="21"/>
      <c r="LL79" s="21"/>
      <c r="LM79" s="21"/>
      <c r="LN79" s="21"/>
      <c r="LO79" s="21"/>
      <c r="LP79" s="21"/>
      <c r="LQ79" s="21"/>
      <c r="LR79" s="21"/>
      <c r="LS79" s="21"/>
      <c r="LT79" s="21"/>
      <c r="LU79" s="21"/>
      <c r="LV79" s="21"/>
      <c r="LW79" s="21"/>
      <c r="LX79" s="21"/>
      <c r="LY79" s="21"/>
      <c r="LZ79" s="21"/>
      <c r="MA79" s="21"/>
      <c r="MB79" s="21"/>
      <c r="MC79" s="168">
        <v>60389000</v>
      </c>
      <c r="MD79" s="168">
        <v>64512000</v>
      </c>
      <c r="ME79" s="21"/>
      <c r="MF79" s="21"/>
      <c r="MG79" s="168">
        <v>15143000</v>
      </c>
      <c r="MH79" s="168">
        <v>14413000</v>
      </c>
      <c r="MI79" s="21"/>
      <c r="MJ79" s="21"/>
      <c r="MK79" s="21"/>
      <c r="ML79" s="21"/>
      <c r="MM79" s="168">
        <v>4194000</v>
      </c>
      <c r="MN79" s="168">
        <v>4213000</v>
      </c>
      <c r="MO79" s="21"/>
      <c r="MP79" s="21"/>
      <c r="MQ79" s="21"/>
      <c r="MR79" s="21"/>
      <c r="MS79" s="21"/>
      <c r="MT79" s="21"/>
      <c r="MU79" s="21"/>
      <c r="MV79" s="21"/>
      <c r="MW79" s="21"/>
      <c r="MX79" s="21"/>
      <c r="MY79" s="21"/>
      <c r="MZ79" s="21"/>
      <c r="NA79" s="21"/>
      <c r="NB79" s="21"/>
      <c r="NC79" s="168">
        <v>6295000</v>
      </c>
      <c r="ND79" s="168">
        <v>8284000</v>
      </c>
      <c r="NE79" s="21"/>
      <c r="NF79" s="21"/>
      <c r="NG79" s="168">
        <v>92788000</v>
      </c>
      <c r="NH79" s="168">
        <v>89895000</v>
      </c>
      <c r="NI79" s="21"/>
      <c r="NJ79" s="21"/>
      <c r="NK79" s="168">
        <v>51000</v>
      </c>
      <c r="NL79" s="168">
        <v>52000</v>
      </c>
      <c r="NM79" s="168">
        <v>94485000</v>
      </c>
      <c r="NN79" s="168">
        <v>103231000</v>
      </c>
      <c r="NO79" s="168">
        <v>204248000</v>
      </c>
      <c r="NP79" s="168">
        <v>209256000</v>
      </c>
      <c r="NQ79" s="168" t="s">
        <v>1060</v>
      </c>
      <c r="NR79" s="168" t="s">
        <v>769</v>
      </c>
      <c r="NS79" s="168" t="s">
        <v>770</v>
      </c>
      <c r="NT79" s="168" t="s">
        <v>771</v>
      </c>
      <c r="NU79" s="168">
        <v>7802</v>
      </c>
      <c r="NV79" s="168" t="s">
        <v>2104</v>
      </c>
      <c r="NW79" s="168" t="s">
        <v>28</v>
      </c>
      <c r="NX79" s="168" t="s">
        <v>25</v>
      </c>
      <c r="NY79" s="169">
        <v>42916</v>
      </c>
      <c r="NZ79" s="169">
        <v>42551</v>
      </c>
      <c r="OA79" s="169">
        <v>43104</v>
      </c>
      <c r="OB79" s="168" t="s">
        <v>1061</v>
      </c>
      <c r="OC79" s="168">
        <v>12</v>
      </c>
      <c r="OD79" s="168" t="s">
        <v>2105</v>
      </c>
      <c r="OE79" s="168" t="s">
        <v>2156</v>
      </c>
      <c r="OF79" s="168" t="s">
        <v>2257</v>
      </c>
      <c r="OG79" s="168" t="s">
        <v>1864</v>
      </c>
      <c r="OH79" s="168" t="s">
        <v>843</v>
      </c>
      <c r="OI79" s="168" t="s">
        <v>766</v>
      </c>
      <c r="OJ79" s="168" t="s">
        <v>3240</v>
      </c>
      <c r="OK79" s="168" t="s">
        <v>767</v>
      </c>
    </row>
    <row r="80" spans="1:401" x14ac:dyDescent="0.2">
      <c r="A80" s="170" t="str">
        <f>Liste[[#This Row],[Siren]]</f>
        <v>781504329</v>
      </c>
      <c r="B80" s="198" t="str">
        <f>Liste[[#This Row],[Dénomination]]&amp;" - comptes "&amp;YEAR(Liste[[#This Row],[Date de cloture de l''exercice]])</f>
        <v>SOCIETE COOPERATIVE AGRICOLE CENTRE OUEST CEREALES - comptes 2017</v>
      </c>
      <c r="C80" s="21"/>
      <c r="D80" s="21"/>
      <c r="E80" s="168">
        <v>864887</v>
      </c>
      <c r="F80" s="168">
        <v>26295134</v>
      </c>
      <c r="G80" s="168">
        <v>23864350</v>
      </c>
      <c r="H80" s="168">
        <v>27160021</v>
      </c>
      <c r="I80" s="168">
        <v>3442953</v>
      </c>
      <c r="J80" s="168">
        <v>785570</v>
      </c>
      <c r="K80" s="168">
        <v>688950</v>
      </c>
      <c r="L80" s="168">
        <v>4228524</v>
      </c>
      <c r="M80" s="21"/>
      <c r="N80" s="168">
        <v>2553275</v>
      </c>
      <c r="O80" s="168">
        <v>2430034</v>
      </c>
      <c r="P80" s="168">
        <v>2553275</v>
      </c>
      <c r="Q80" s="168">
        <v>5340</v>
      </c>
      <c r="R80" s="168">
        <v>32357</v>
      </c>
      <c r="S80" s="168">
        <v>36127</v>
      </c>
      <c r="T80" s="168">
        <v>37697</v>
      </c>
      <c r="U80" s="21"/>
      <c r="V80" s="21"/>
      <c r="W80" s="21"/>
      <c r="X80" s="21"/>
      <c r="Y80" s="21"/>
      <c r="Z80" s="168">
        <v>71167</v>
      </c>
      <c r="AA80" s="168">
        <v>113011</v>
      </c>
      <c r="AB80" s="168">
        <v>71167</v>
      </c>
      <c r="AC80" s="21"/>
      <c r="AD80" s="21"/>
      <c r="AE80" s="21"/>
      <c r="AF80" s="21"/>
      <c r="AG80" s="21"/>
      <c r="AH80" s="21"/>
      <c r="AI80" s="21"/>
      <c r="AJ80" s="21"/>
      <c r="AK80" s="21"/>
      <c r="AL80" s="168">
        <v>803532</v>
      </c>
      <c r="AM80" s="168">
        <v>414566</v>
      </c>
      <c r="AN80" s="168">
        <v>803532</v>
      </c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168">
        <v>1834738</v>
      </c>
      <c r="BA80" s="168">
        <v>1585034</v>
      </c>
      <c r="BB80" s="168">
        <v>1834738</v>
      </c>
      <c r="BC80" s="168">
        <v>229635</v>
      </c>
      <c r="BD80" s="168">
        <v>17942369</v>
      </c>
      <c r="BE80" s="168">
        <v>16409971</v>
      </c>
      <c r="BF80" s="168">
        <v>18172004</v>
      </c>
      <c r="BG80" s="168">
        <v>535268</v>
      </c>
      <c r="BH80" s="168">
        <v>72197</v>
      </c>
      <c r="BI80" s="168">
        <v>28388</v>
      </c>
      <c r="BJ80" s="168">
        <v>607464</v>
      </c>
      <c r="BK80" s="168">
        <v>43581297</v>
      </c>
      <c r="BL80" s="168">
        <v>13887756</v>
      </c>
      <c r="BM80" s="168">
        <v>15151234</v>
      </c>
      <c r="BN80" s="168">
        <v>57469053</v>
      </c>
      <c r="BO80" s="21"/>
      <c r="BP80" s="168">
        <v>291141</v>
      </c>
      <c r="BQ80" s="168">
        <v>270672</v>
      </c>
      <c r="BR80" s="168">
        <v>291141</v>
      </c>
      <c r="BS80" s="21"/>
      <c r="BT80" s="21"/>
      <c r="BU80" s="21"/>
      <c r="BV80" s="21"/>
      <c r="BW80" s="21"/>
      <c r="BX80" s="168">
        <v>1608562</v>
      </c>
      <c r="BY80" s="168">
        <v>581279</v>
      </c>
      <c r="BZ80" s="168">
        <v>1608562</v>
      </c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168">
        <v>690</v>
      </c>
      <c r="CQ80" s="168">
        <v>6210</v>
      </c>
      <c r="CR80" s="168">
        <v>6900</v>
      </c>
      <c r="CS80" s="168">
        <v>6900</v>
      </c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168">
        <v>29646681</v>
      </c>
      <c r="DG80" s="168">
        <v>8746214</v>
      </c>
      <c r="DH80" s="168">
        <v>10100608</v>
      </c>
      <c r="DI80" s="168">
        <v>38392895</v>
      </c>
      <c r="DJ80" s="21"/>
      <c r="DK80" s="168">
        <v>6654413</v>
      </c>
      <c r="DL80" s="168">
        <v>6709365</v>
      </c>
      <c r="DM80" s="168">
        <v>6654413</v>
      </c>
      <c r="DN80" s="21"/>
      <c r="DO80" s="168">
        <v>17180473</v>
      </c>
      <c r="DP80" s="168">
        <v>14203854</v>
      </c>
      <c r="DQ80" s="168">
        <v>17180473</v>
      </c>
      <c r="DR80" s="21"/>
      <c r="DS80" s="21"/>
      <c r="DT80" s="21"/>
      <c r="DU80" s="21"/>
      <c r="DV80" s="21"/>
      <c r="DW80" s="168">
        <v>40673</v>
      </c>
      <c r="DX80" s="168">
        <v>74188</v>
      </c>
      <c r="DY80" s="168">
        <v>40673</v>
      </c>
      <c r="DZ80" s="21"/>
      <c r="EA80" s="21"/>
      <c r="EB80" s="21"/>
      <c r="EC80" s="21"/>
      <c r="ED80" s="168">
        <v>5941188</v>
      </c>
      <c r="EE80" s="168">
        <v>6572220</v>
      </c>
      <c r="EF80" s="168">
        <v>5941188</v>
      </c>
      <c r="EG80" s="21"/>
      <c r="EH80" s="21"/>
      <c r="EI80" s="21"/>
      <c r="EJ80" s="21"/>
      <c r="EK80" s="168">
        <v>81673632</v>
      </c>
      <c r="EL80" s="168">
        <v>37562616</v>
      </c>
      <c r="EM80" s="168">
        <v>38104075</v>
      </c>
      <c r="EN80" s="168">
        <v>119236248</v>
      </c>
      <c r="EO80" s="168">
        <v>1094522</v>
      </c>
      <c r="EP80" s="168">
        <v>78258434</v>
      </c>
      <c r="EQ80" s="168">
        <v>76784264</v>
      </c>
      <c r="ER80" s="168">
        <v>79352956</v>
      </c>
      <c r="ES80" s="168">
        <v>82768154</v>
      </c>
      <c r="ET80" s="168">
        <v>115821050</v>
      </c>
      <c r="EU80" s="168">
        <v>114808339</v>
      </c>
      <c r="EV80" s="168">
        <v>198589204</v>
      </c>
      <c r="EW80" s="168">
        <v>4461403</v>
      </c>
      <c r="EX80" s="168">
        <v>9393764</v>
      </c>
      <c r="EY80" s="168">
        <v>8809607</v>
      </c>
      <c r="EZ80" s="168">
        <v>13855167</v>
      </c>
      <c r="FA80" s="21"/>
      <c r="FB80" s="21"/>
      <c r="FC80" s="21"/>
      <c r="FD80" s="21"/>
      <c r="FE80" s="21"/>
      <c r="FF80" s="21"/>
      <c r="FG80" s="21"/>
      <c r="FH80" s="21"/>
      <c r="FI80" s="168">
        <v>38191</v>
      </c>
      <c r="FJ80" s="168">
        <v>1012994</v>
      </c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168">
        <v>3176</v>
      </c>
      <c r="FX80" s="168">
        <v>5153</v>
      </c>
      <c r="FY80" s="21"/>
      <c r="FZ80" s="21"/>
      <c r="GA80" s="168">
        <v>182146</v>
      </c>
      <c r="GB80" s="168">
        <v>170160</v>
      </c>
      <c r="GC80" s="21"/>
      <c r="GD80" s="21"/>
      <c r="GE80" s="21"/>
      <c r="GF80" s="21"/>
      <c r="GG80" s="21"/>
      <c r="GH80" s="21"/>
      <c r="GI80" s="21"/>
      <c r="GJ80" s="21"/>
      <c r="GK80" s="21"/>
      <c r="GL80" s="21"/>
      <c r="GM80" s="168">
        <v>780524</v>
      </c>
      <c r="GN80" s="168">
        <v>-625776</v>
      </c>
      <c r="GO80" s="21"/>
      <c r="GP80" s="21"/>
      <c r="GQ80" s="21"/>
      <c r="GR80" s="21"/>
      <c r="GS80" s="21"/>
      <c r="GT80" s="21"/>
      <c r="GU80" s="168">
        <v>406080</v>
      </c>
      <c r="GV80" s="168">
        <v>106569</v>
      </c>
      <c r="GW80" s="168">
        <v>446251</v>
      </c>
      <c r="GX80" s="168">
        <v>1119564</v>
      </c>
      <c r="GY80" s="168">
        <v>33682463</v>
      </c>
      <c r="GZ80" s="168">
        <v>40219798</v>
      </c>
      <c r="HA80" s="168">
        <v>160423950</v>
      </c>
      <c r="HB80" s="168">
        <v>190199741</v>
      </c>
      <c r="HC80" s="168">
        <v>15801385</v>
      </c>
      <c r="HD80" s="168">
        <v>19227627</v>
      </c>
      <c r="HE80" s="168">
        <v>98179</v>
      </c>
      <c r="HF80" s="168">
        <v>43322</v>
      </c>
      <c r="HG80" s="21"/>
      <c r="HH80" s="21"/>
      <c r="HI80" s="168">
        <v>908859</v>
      </c>
      <c r="HJ80" s="168">
        <v>3259049</v>
      </c>
      <c r="HK80" s="21"/>
      <c r="HL80" s="21"/>
      <c r="HM80" s="21"/>
      <c r="HN80" s="21"/>
      <c r="HO80" s="168">
        <v>2689663</v>
      </c>
      <c r="HP80" s="168">
        <v>2624815</v>
      </c>
      <c r="HQ80" s="21"/>
      <c r="HR80" s="21"/>
      <c r="HS80" s="21"/>
      <c r="HT80" s="21"/>
      <c r="HU80" s="21"/>
      <c r="HV80" s="21"/>
      <c r="HW80" s="21"/>
      <c r="HX80" s="21"/>
      <c r="HY80" s="21"/>
      <c r="HZ80" s="21"/>
      <c r="IA80" s="21"/>
      <c r="IB80" s="21"/>
      <c r="IC80" s="21"/>
      <c r="ID80" s="21"/>
      <c r="IE80" s="168">
        <v>739557</v>
      </c>
      <c r="IF80" s="168">
        <v>521033</v>
      </c>
      <c r="IG80" s="21"/>
      <c r="IH80" s="21"/>
      <c r="II80" s="21"/>
      <c r="IJ80" s="21"/>
      <c r="IK80" s="21"/>
      <c r="IL80" s="21"/>
      <c r="IM80" s="168">
        <v>-631033</v>
      </c>
      <c r="IN80" s="168">
        <v>2642920</v>
      </c>
      <c r="IO80" s="21"/>
      <c r="IP80" s="21"/>
      <c r="IQ80" s="21"/>
      <c r="IR80" s="21"/>
      <c r="IS80" s="21"/>
      <c r="IT80" s="21"/>
      <c r="IU80" s="168">
        <v>927655</v>
      </c>
      <c r="IV80" s="168">
        <v>-1463458</v>
      </c>
      <c r="IW80" s="168">
        <v>1525590</v>
      </c>
      <c r="IX80" s="168">
        <v>-814533</v>
      </c>
      <c r="IY80" s="168">
        <v>-597934</v>
      </c>
      <c r="IZ80" s="168">
        <v>-647500</v>
      </c>
      <c r="JA80" s="21"/>
      <c r="JB80" s="21"/>
      <c r="JC80" s="21"/>
      <c r="JD80" s="21"/>
      <c r="JE80" s="168">
        <v>5883054</v>
      </c>
      <c r="JF80" s="168">
        <v>5808463</v>
      </c>
      <c r="JG80" s="168">
        <v>125559</v>
      </c>
      <c r="JH80" s="168">
        <v>572284</v>
      </c>
      <c r="JI80" s="168">
        <v>222163695</v>
      </c>
      <c r="JJ80" s="168">
        <v>264240529</v>
      </c>
      <c r="JK80" s="168">
        <v>1631742</v>
      </c>
      <c r="JL80" s="168">
        <v>1196563</v>
      </c>
      <c r="JM80" s="168">
        <v>223689284</v>
      </c>
      <c r="JN80" s="168">
        <v>263425996</v>
      </c>
      <c r="JO80" s="168">
        <v>1033808</v>
      </c>
      <c r="JP80" s="168">
        <v>549064</v>
      </c>
      <c r="JQ80" s="168">
        <v>54946</v>
      </c>
      <c r="JR80" s="168">
        <v>1134471</v>
      </c>
      <c r="JS80" s="168">
        <v>-2971610</v>
      </c>
      <c r="JT80" s="168">
        <v>-1481750</v>
      </c>
      <c r="JU80" s="21"/>
      <c r="JV80" s="21"/>
      <c r="JW80" s="168">
        <v>223285898</v>
      </c>
      <c r="JX80" s="168">
        <v>256951743</v>
      </c>
      <c r="JY80" s="21"/>
      <c r="JZ80" s="21"/>
      <c r="KA80" s="21"/>
      <c r="KB80" s="21"/>
      <c r="KC80" s="21"/>
      <c r="KD80" s="21"/>
      <c r="KE80" s="21"/>
      <c r="KF80" s="21"/>
      <c r="KG80" s="21"/>
      <c r="KH80" s="21"/>
      <c r="KI80" s="168">
        <v>44031978</v>
      </c>
      <c r="KJ80" s="168">
        <v>53372939</v>
      </c>
      <c r="KK80" s="21"/>
      <c r="KL80" s="21"/>
      <c r="KM80" s="21"/>
      <c r="KN80" s="21"/>
      <c r="KO80" s="21"/>
      <c r="KP80" s="21"/>
      <c r="KQ80" s="168">
        <v>601558</v>
      </c>
      <c r="KR80" s="168">
        <v>573908</v>
      </c>
      <c r="KS80" s="21"/>
      <c r="KT80" s="21"/>
      <c r="KU80" s="168">
        <v>23038551</v>
      </c>
      <c r="KV80" s="168">
        <v>22625004</v>
      </c>
      <c r="KW80" s="21"/>
      <c r="KX80" s="21"/>
      <c r="KY80" s="168">
        <v>5897</v>
      </c>
      <c r="KZ80" s="168">
        <v>390696</v>
      </c>
      <c r="LA80" s="168">
        <v>15150253</v>
      </c>
      <c r="LB80" s="168">
        <v>15385739</v>
      </c>
      <c r="LC80" s="21"/>
      <c r="LD80" s="21"/>
      <c r="LE80" s="21"/>
      <c r="LF80" s="21"/>
      <c r="LG80" s="21"/>
      <c r="LH80" s="21"/>
      <c r="LI80" s="168">
        <v>4070565</v>
      </c>
      <c r="LJ80" s="168">
        <v>3626614</v>
      </c>
      <c r="LK80" s="168">
        <v>17643233</v>
      </c>
      <c r="LL80" s="168">
        <v>20304022</v>
      </c>
      <c r="LM80" s="168">
        <v>558933</v>
      </c>
      <c r="LN80" s="168">
        <v>431257</v>
      </c>
      <c r="LO80" s="21"/>
      <c r="LP80" s="21"/>
      <c r="LQ80" s="21"/>
      <c r="LR80" s="21"/>
      <c r="LS80" s="21"/>
      <c r="LT80" s="21"/>
      <c r="LU80" s="21"/>
      <c r="LV80" s="21"/>
      <c r="LW80" s="21"/>
      <c r="LX80" s="21"/>
      <c r="LY80" s="21"/>
      <c r="LZ80" s="21"/>
      <c r="MA80" s="168">
        <v>34712169</v>
      </c>
      <c r="MB80" s="168">
        <v>32103965</v>
      </c>
      <c r="MC80" s="168">
        <v>15448197</v>
      </c>
      <c r="MD80" s="168">
        <v>14940309</v>
      </c>
      <c r="ME80" s="21"/>
      <c r="MF80" s="21"/>
      <c r="MG80" s="21"/>
      <c r="MH80" s="21"/>
      <c r="MI80" s="21"/>
      <c r="MJ80" s="21"/>
      <c r="MK80" s="21"/>
      <c r="ML80" s="21"/>
      <c r="MM80" s="168">
        <v>393300</v>
      </c>
      <c r="MN80" s="168">
        <v>301650</v>
      </c>
      <c r="MO80" s="168">
        <v>613463</v>
      </c>
      <c r="MP80" s="168">
        <v>885593</v>
      </c>
      <c r="MQ80" s="168">
        <v>89299</v>
      </c>
      <c r="MR80" s="168">
        <v>82335</v>
      </c>
      <c r="MS80" s="21"/>
      <c r="MT80" s="21"/>
      <c r="MU80" s="168">
        <v>-6204282</v>
      </c>
      <c r="MV80" s="168">
        <v>-5000460</v>
      </c>
      <c r="MW80" s="168">
        <v>6525510</v>
      </c>
      <c r="MX80" s="168">
        <v>5308169</v>
      </c>
      <c r="MY80" s="168">
        <v>1646289</v>
      </c>
      <c r="MZ80" s="168">
        <v>646269</v>
      </c>
      <c r="NA80" s="21"/>
      <c r="NB80" s="168">
        <v>63543</v>
      </c>
      <c r="NC80" s="168">
        <v>780524</v>
      </c>
      <c r="ND80" s="168">
        <v>40605788</v>
      </c>
      <c r="NE80" s="21"/>
      <c r="NF80" s="21"/>
      <c r="NG80" s="168">
        <v>40965136</v>
      </c>
      <c r="NH80" s="168">
        <v>40605788</v>
      </c>
      <c r="NI80" s="21"/>
      <c r="NJ80" s="21"/>
      <c r="NK80" s="21"/>
      <c r="NL80" s="21"/>
      <c r="NM80" s="168">
        <v>74153152</v>
      </c>
      <c r="NN80" s="168">
        <v>73234622</v>
      </c>
      <c r="NO80" s="168">
        <v>115821050</v>
      </c>
      <c r="NP80" s="168">
        <v>114808339</v>
      </c>
      <c r="NQ80" s="168" t="s">
        <v>3434</v>
      </c>
      <c r="NR80" s="168" t="s">
        <v>797</v>
      </c>
      <c r="NS80" s="168" t="s">
        <v>770</v>
      </c>
      <c r="NT80" s="168" t="s">
        <v>771</v>
      </c>
      <c r="NU80" s="168">
        <v>8602</v>
      </c>
      <c r="NV80" s="168" t="s">
        <v>2104</v>
      </c>
      <c r="NW80" s="168" t="s">
        <v>28</v>
      </c>
      <c r="NX80" s="168" t="s">
        <v>25</v>
      </c>
      <c r="NY80" s="169">
        <v>42916</v>
      </c>
      <c r="NZ80" s="169">
        <v>42551</v>
      </c>
      <c r="OA80" s="169">
        <v>43125</v>
      </c>
      <c r="OB80" s="168" t="s">
        <v>3435</v>
      </c>
      <c r="OC80" s="168">
        <v>12</v>
      </c>
      <c r="OD80" s="168" t="s">
        <v>2106</v>
      </c>
      <c r="OE80" s="168" t="s">
        <v>2177</v>
      </c>
      <c r="OF80" s="168" t="s">
        <v>3436</v>
      </c>
      <c r="OG80" s="168" t="s">
        <v>3437</v>
      </c>
      <c r="OH80" s="168" t="s">
        <v>827</v>
      </c>
      <c r="OI80" s="168" t="s">
        <v>766</v>
      </c>
      <c r="OJ80" s="168" t="s">
        <v>3240</v>
      </c>
      <c r="OK80" s="168" t="s">
        <v>796</v>
      </c>
    </row>
    <row r="81" spans="1:401" x14ac:dyDescent="0.2">
      <c r="A81" s="170" t="str">
        <f>Liste[[#This Row],[Siren]]</f>
        <v>326677366</v>
      </c>
      <c r="B81" s="198" t="str">
        <f>Liste[[#This Row],[Dénomination]]&amp;" - comptes "&amp;YEAR(Liste[[#This Row],[Date de cloture de l''exercice]])</f>
        <v>AGORA - comptes 2017</v>
      </c>
      <c r="C81" s="21"/>
      <c r="D81" s="21"/>
      <c r="E81" s="168">
        <v>6378647</v>
      </c>
      <c r="F81" s="168">
        <v>34752347</v>
      </c>
      <c r="G81" s="168">
        <v>50224566</v>
      </c>
      <c r="H81" s="168">
        <v>41130994</v>
      </c>
      <c r="I81" s="168">
        <v>2285642</v>
      </c>
      <c r="J81" s="168">
        <v>790445</v>
      </c>
      <c r="K81" s="168">
        <v>681930</v>
      </c>
      <c r="L81" s="168">
        <v>3076087</v>
      </c>
      <c r="M81" s="168">
        <v>7</v>
      </c>
      <c r="N81" s="168">
        <v>972850</v>
      </c>
      <c r="O81" s="168">
        <v>60921</v>
      </c>
      <c r="P81" s="168">
        <v>972857</v>
      </c>
      <c r="Q81" s="21"/>
      <c r="R81" s="21"/>
      <c r="S81" s="21"/>
      <c r="T81" s="21"/>
      <c r="U81" s="21"/>
      <c r="V81" s="21"/>
      <c r="W81" s="21"/>
      <c r="X81" s="21"/>
      <c r="Y81" s="21"/>
      <c r="Z81" s="168">
        <v>3463</v>
      </c>
      <c r="AA81" s="168">
        <v>3471</v>
      </c>
      <c r="AB81" s="168">
        <v>3463</v>
      </c>
      <c r="AC81" s="21"/>
      <c r="AD81" s="21"/>
      <c r="AE81" s="168">
        <v>47660</v>
      </c>
      <c r="AF81" s="21"/>
      <c r="AG81" s="21"/>
      <c r="AH81" s="21"/>
      <c r="AI81" s="21"/>
      <c r="AJ81" s="21"/>
      <c r="AK81" s="21"/>
      <c r="AL81" s="168">
        <v>193566</v>
      </c>
      <c r="AM81" s="168">
        <v>1754</v>
      </c>
      <c r="AN81" s="168">
        <v>193566</v>
      </c>
      <c r="AO81" s="21"/>
      <c r="AP81" s="168">
        <v>52836</v>
      </c>
      <c r="AQ81" s="21"/>
      <c r="AR81" s="168">
        <v>52836</v>
      </c>
      <c r="AS81" s="21"/>
      <c r="AT81" s="21"/>
      <c r="AU81" s="21"/>
      <c r="AV81" s="21"/>
      <c r="AW81" s="21"/>
      <c r="AX81" s="21"/>
      <c r="AY81" s="21"/>
      <c r="AZ81" s="168">
        <v>1355136</v>
      </c>
      <c r="BA81" s="168">
        <v>797940</v>
      </c>
      <c r="BB81" s="168">
        <v>1355136</v>
      </c>
      <c r="BC81" s="168">
        <v>1082043</v>
      </c>
      <c r="BD81" s="168">
        <v>21093005</v>
      </c>
      <c r="BE81" s="168">
        <v>20109963</v>
      </c>
      <c r="BF81" s="168">
        <v>22175048</v>
      </c>
      <c r="BG81" s="168">
        <v>842469</v>
      </c>
      <c r="BH81" s="168">
        <v>30945</v>
      </c>
      <c r="BI81" s="168">
        <v>85387</v>
      </c>
      <c r="BJ81" s="168">
        <v>873414</v>
      </c>
      <c r="BK81" s="168">
        <v>73548585</v>
      </c>
      <c r="BL81" s="168">
        <v>49731898</v>
      </c>
      <c r="BM81" s="168">
        <v>50517208</v>
      </c>
      <c r="BN81" s="168">
        <v>123280483</v>
      </c>
      <c r="BO81" s="21"/>
      <c r="BP81" s="168">
        <v>12420</v>
      </c>
      <c r="BQ81" s="168">
        <v>13807</v>
      </c>
      <c r="BR81" s="168">
        <v>12420</v>
      </c>
      <c r="BS81" s="21"/>
      <c r="BT81" s="21"/>
      <c r="BU81" s="21"/>
      <c r="BV81" s="21"/>
      <c r="BW81" s="21"/>
      <c r="BX81" s="168">
        <v>6782289</v>
      </c>
      <c r="BY81" s="168">
        <v>11058971</v>
      </c>
      <c r="BZ81" s="168">
        <v>6782289</v>
      </c>
      <c r="CA81" s="21"/>
      <c r="CB81" s="21"/>
      <c r="CC81" s="21"/>
      <c r="CD81" s="168">
        <v>685613</v>
      </c>
      <c r="CE81" s="168">
        <v>1060657</v>
      </c>
      <c r="CF81" s="168">
        <v>1149875</v>
      </c>
      <c r="CG81" s="168">
        <v>1746270</v>
      </c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168">
        <v>7580193</v>
      </c>
      <c r="DD81" s="168">
        <v>5670384</v>
      </c>
      <c r="DE81" s="168">
        <v>7580193</v>
      </c>
      <c r="DF81" s="168">
        <v>24221579</v>
      </c>
      <c r="DG81" s="168">
        <v>6387599</v>
      </c>
      <c r="DH81" s="168">
        <v>6888483</v>
      </c>
      <c r="DI81" s="168">
        <v>30609178</v>
      </c>
      <c r="DJ81" s="168">
        <v>498341</v>
      </c>
      <c r="DK81" s="168">
        <v>14539859</v>
      </c>
      <c r="DL81" s="168">
        <v>14395226</v>
      </c>
      <c r="DM81" s="168">
        <v>15038200</v>
      </c>
      <c r="DN81" s="21"/>
      <c r="DO81" s="168">
        <v>430820</v>
      </c>
      <c r="DP81" s="168">
        <v>237196</v>
      </c>
      <c r="DQ81" s="168">
        <v>430820</v>
      </c>
      <c r="DR81" s="21"/>
      <c r="DS81" s="168">
        <v>8170546</v>
      </c>
      <c r="DT81" s="168">
        <v>7838139</v>
      </c>
      <c r="DU81" s="168">
        <v>8170546</v>
      </c>
      <c r="DV81" s="168">
        <v>904630</v>
      </c>
      <c r="DW81" s="168">
        <v>572518</v>
      </c>
      <c r="DX81" s="168">
        <v>421295</v>
      </c>
      <c r="DY81" s="168">
        <v>1477148</v>
      </c>
      <c r="DZ81" s="21"/>
      <c r="EA81" s="21"/>
      <c r="EB81" s="21"/>
      <c r="EC81" s="21"/>
      <c r="ED81" s="168">
        <v>4862</v>
      </c>
      <c r="EE81" s="21"/>
      <c r="EF81" s="168">
        <v>4862</v>
      </c>
      <c r="EG81" s="21"/>
      <c r="EH81" s="21"/>
      <c r="EI81" s="21"/>
      <c r="EJ81" s="21"/>
      <c r="EK81" s="168">
        <v>106680135</v>
      </c>
      <c r="EL81" s="168">
        <v>87315387</v>
      </c>
      <c r="EM81" s="168">
        <v>7321092</v>
      </c>
      <c r="EN81" s="168">
        <v>193995522</v>
      </c>
      <c r="EO81" s="168">
        <v>8051580</v>
      </c>
      <c r="EP81" s="168">
        <v>91598576</v>
      </c>
      <c r="EQ81" s="168">
        <v>112189273</v>
      </c>
      <c r="ER81" s="168">
        <v>99650156</v>
      </c>
      <c r="ES81" s="168">
        <v>114731715</v>
      </c>
      <c r="ET81" s="168">
        <v>178913963</v>
      </c>
      <c r="EU81" s="168">
        <v>197210616</v>
      </c>
      <c r="EV81" s="168">
        <v>293645678</v>
      </c>
      <c r="EW81" s="168">
        <v>2974079</v>
      </c>
      <c r="EX81" s="168">
        <v>7839987</v>
      </c>
      <c r="EY81" s="168">
        <v>7972835</v>
      </c>
      <c r="EZ81" s="168">
        <v>10814066</v>
      </c>
      <c r="FA81" s="21"/>
      <c r="FB81" s="21"/>
      <c r="FC81" s="21"/>
      <c r="FD81" s="21"/>
      <c r="FE81" s="168">
        <v>92549</v>
      </c>
      <c r="FF81" s="168">
        <v>12393856</v>
      </c>
      <c r="FG81" s="168">
        <v>15363656</v>
      </c>
      <c r="FH81" s="168">
        <v>12486405</v>
      </c>
      <c r="FI81" s="168">
        <v>-3649259</v>
      </c>
      <c r="FJ81" s="168">
        <v>519990</v>
      </c>
      <c r="FK81" s="21"/>
      <c r="FL81" s="21"/>
      <c r="FM81" s="168">
        <v>3579260</v>
      </c>
      <c r="FN81" s="168">
        <v>617153</v>
      </c>
      <c r="FO81" s="168">
        <v>285052</v>
      </c>
      <c r="FP81" s="168">
        <v>905931</v>
      </c>
      <c r="FQ81" s="168">
        <v>89218</v>
      </c>
      <c r="FR81" s="168">
        <v>89222</v>
      </c>
      <c r="FS81" s="168">
        <v>1190451</v>
      </c>
      <c r="FT81" s="168">
        <v>153022</v>
      </c>
      <c r="FU81" s="168">
        <v>-6725</v>
      </c>
      <c r="FV81" s="168">
        <v>-1727</v>
      </c>
      <c r="FW81" s="168">
        <v>-143162</v>
      </c>
      <c r="FX81" s="168">
        <v>-122506</v>
      </c>
      <c r="FY81" s="21"/>
      <c r="FZ81" s="21"/>
      <c r="GA81" s="168">
        <v>-143162</v>
      </c>
      <c r="GB81" s="168">
        <v>-122506</v>
      </c>
      <c r="GC81" s="168">
        <v>358521</v>
      </c>
      <c r="GD81" s="168">
        <v>180718</v>
      </c>
      <c r="GE81" s="168">
        <v>676844</v>
      </c>
      <c r="GF81" s="168">
        <v>1563848</v>
      </c>
      <c r="GG81" s="21"/>
      <c r="GH81" s="21"/>
      <c r="GI81" s="21"/>
      <c r="GJ81" s="168">
        <v>-3075</v>
      </c>
      <c r="GK81" s="168">
        <v>370139</v>
      </c>
      <c r="GL81" s="168">
        <v>451530</v>
      </c>
      <c r="GM81" s="168">
        <v>419150</v>
      </c>
      <c r="GN81" s="168">
        <v>3282395</v>
      </c>
      <c r="GO81" s="168">
        <v>-165964</v>
      </c>
      <c r="GP81" s="168">
        <v>2682605</v>
      </c>
      <c r="GQ81" s="168">
        <v>674333</v>
      </c>
      <c r="GR81" s="168">
        <v>689012</v>
      </c>
      <c r="GS81" s="168">
        <v>419150</v>
      </c>
      <c r="GT81" s="168">
        <v>3285470</v>
      </c>
      <c r="GU81" s="168">
        <v>5054763</v>
      </c>
      <c r="GV81" s="168">
        <v>1676106</v>
      </c>
      <c r="GW81" s="168">
        <v>1405504</v>
      </c>
      <c r="GX81" s="168">
        <v>2196096</v>
      </c>
      <c r="GY81" s="168">
        <v>156220248</v>
      </c>
      <c r="GZ81" s="168">
        <v>222906584</v>
      </c>
      <c r="HA81" s="168">
        <v>5979904</v>
      </c>
      <c r="HB81" s="168">
        <v>8478422</v>
      </c>
      <c r="HC81" s="168">
        <v>9778806</v>
      </c>
      <c r="HD81" s="168">
        <v>16394885</v>
      </c>
      <c r="HE81" s="168">
        <v>1116724</v>
      </c>
      <c r="HF81" s="168">
        <v>1171896</v>
      </c>
      <c r="HG81" s="168">
        <v>1087610</v>
      </c>
      <c r="HH81" s="168">
        <v>2063280</v>
      </c>
      <c r="HI81" s="168">
        <v>2108081</v>
      </c>
      <c r="HJ81" s="168">
        <v>2221313</v>
      </c>
      <c r="HK81" s="21"/>
      <c r="HL81" s="21"/>
      <c r="HM81" s="168">
        <v>359</v>
      </c>
      <c r="HN81" s="21"/>
      <c r="HO81" s="168">
        <v>1948709</v>
      </c>
      <c r="HP81" s="168">
        <v>2895328</v>
      </c>
      <c r="HQ81" s="21"/>
      <c r="HR81" s="21"/>
      <c r="HS81" s="168">
        <v>1657</v>
      </c>
      <c r="HT81" s="168">
        <v>8017</v>
      </c>
      <c r="HU81" s="168">
        <v>5116405</v>
      </c>
      <c r="HV81" s="168">
        <v>6483367</v>
      </c>
      <c r="HW81" s="168">
        <v>148694</v>
      </c>
      <c r="HX81" s="168">
        <v>268896</v>
      </c>
      <c r="HY81" s="168">
        <v>341282</v>
      </c>
      <c r="HZ81" s="168">
        <v>2358849</v>
      </c>
      <c r="IA81" s="168">
        <v>3048810</v>
      </c>
      <c r="IB81" s="168">
        <v>2142114</v>
      </c>
      <c r="IC81" s="21"/>
      <c r="ID81" s="21"/>
      <c r="IE81" s="168">
        <v>2962598</v>
      </c>
      <c r="IF81" s="168">
        <v>3021490</v>
      </c>
      <c r="IG81" s="168">
        <v>1395845</v>
      </c>
      <c r="IH81" s="168">
        <v>2237997</v>
      </c>
      <c r="II81" s="168">
        <v>46081</v>
      </c>
      <c r="IJ81" s="168">
        <v>56723</v>
      </c>
      <c r="IK81" s="21"/>
      <c r="IL81" s="168">
        <v>1689</v>
      </c>
      <c r="IM81" s="168">
        <v>-3479</v>
      </c>
      <c r="IN81" s="21"/>
      <c r="IO81" s="168">
        <v>474472</v>
      </c>
      <c r="IP81" s="168">
        <v>803469</v>
      </c>
      <c r="IQ81" s="168">
        <v>69119</v>
      </c>
      <c r="IR81" s="168">
        <v>74013</v>
      </c>
      <c r="IS81" s="21"/>
      <c r="IT81" s="168">
        <v>103</v>
      </c>
      <c r="IU81" s="168">
        <v>3333408</v>
      </c>
      <c r="IV81" s="168">
        <v>2038382</v>
      </c>
      <c r="IW81" s="168">
        <v>3060611</v>
      </c>
      <c r="IX81" s="168">
        <v>1384213</v>
      </c>
      <c r="IY81" s="168">
        <v>318878</v>
      </c>
      <c r="IZ81" s="168">
        <v>710892</v>
      </c>
      <c r="JA81" s="168">
        <v>2265471</v>
      </c>
      <c r="JB81" s="168">
        <v>2415115</v>
      </c>
      <c r="JC81" s="168">
        <v>82222</v>
      </c>
      <c r="JD81" s="21"/>
      <c r="JE81" s="168">
        <v>6353120</v>
      </c>
      <c r="JF81" s="168">
        <v>6517008</v>
      </c>
      <c r="JG81" s="168">
        <v>6000</v>
      </c>
      <c r="JH81" s="168">
        <v>8550</v>
      </c>
      <c r="JI81" s="168">
        <v>192776929</v>
      </c>
      <c r="JJ81" s="168">
        <v>273689689</v>
      </c>
      <c r="JK81" s="168">
        <v>1396202</v>
      </c>
      <c r="JL81" s="168">
        <v>2237995</v>
      </c>
      <c r="JM81" s="168">
        <v>195837540</v>
      </c>
      <c r="JN81" s="168">
        <v>275073902</v>
      </c>
      <c r="JO81" s="168">
        <v>1715080</v>
      </c>
      <c r="JP81" s="168">
        <v>2948887</v>
      </c>
      <c r="JQ81" s="168">
        <v>-147168</v>
      </c>
      <c r="JR81" s="168">
        <v>1003773</v>
      </c>
      <c r="JS81" s="168">
        <v>-91203</v>
      </c>
      <c r="JT81" s="168">
        <v>47077</v>
      </c>
      <c r="JU81" s="168">
        <v>34558653</v>
      </c>
      <c r="JV81" s="168">
        <v>156902814</v>
      </c>
      <c r="JW81" s="168">
        <v>191461467</v>
      </c>
      <c r="JX81" s="168">
        <v>270427235</v>
      </c>
      <c r="JY81" s="21"/>
      <c r="JZ81" s="168">
        <v>7548211</v>
      </c>
      <c r="KA81" s="168">
        <v>7548211</v>
      </c>
      <c r="KB81" s="168">
        <v>7999398</v>
      </c>
      <c r="KC81" s="21"/>
      <c r="KD81" s="168">
        <v>2449546</v>
      </c>
      <c r="KE81" s="168">
        <v>2449546</v>
      </c>
      <c r="KF81" s="168">
        <v>4893199</v>
      </c>
      <c r="KG81" s="168">
        <v>34558653</v>
      </c>
      <c r="KH81" s="168">
        <v>146905057</v>
      </c>
      <c r="KI81" s="168">
        <v>181463710</v>
      </c>
      <c r="KJ81" s="168">
        <v>257534638</v>
      </c>
      <c r="KK81" s="21"/>
      <c r="KL81" s="21"/>
      <c r="KM81" s="21"/>
      <c r="KN81" s="21"/>
      <c r="KO81" s="21"/>
      <c r="KP81" s="21"/>
      <c r="KQ81" s="168">
        <v>33082609</v>
      </c>
      <c r="KR81" s="168">
        <v>45929149</v>
      </c>
      <c r="KS81" s="21"/>
      <c r="KT81" s="21"/>
      <c r="KU81" s="168">
        <v>41562037</v>
      </c>
      <c r="KV81" s="168">
        <v>40481717</v>
      </c>
      <c r="KW81" s="21"/>
      <c r="KX81" s="21"/>
      <c r="KY81" s="21"/>
      <c r="KZ81" s="21"/>
      <c r="LA81" s="168">
        <v>7155102</v>
      </c>
      <c r="LB81" s="168">
        <v>7231572</v>
      </c>
      <c r="LC81" s="21"/>
      <c r="LD81" s="21"/>
      <c r="LE81" s="21"/>
      <c r="LF81" s="168">
        <v>-3075</v>
      </c>
      <c r="LG81" s="21"/>
      <c r="LH81" s="21"/>
      <c r="LI81" s="168">
        <v>5487274</v>
      </c>
      <c r="LJ81" s="168">
        <v>4749722</v>
      </c>
      <c r="LK81" s="168">
        <v>6547207</v>
      </c>
      <c r="LL81" s="168">
        <v>12699903</v>
      </c>
      <c r="LM81" s="168">
        <v>1659280</v>
      </c>
      <c r="LN81" s="168">
        <v>1461998</v>
      </c>
      <c r="LO81" s="21"/>
      <c r="LP81" s="21"/>
      <c r="LQ81" s="21"/>
      <c r="LR81" s="21"/>
      <c r="LS81" s="21"/>
      <c r="LT81" s="21"/>
      <c r="LU81" s="21"/>
      <c r="LV81" s="21"/>
      <c r="LW81" s="168">
        <v>242998</v>
      </c>
      <c r="LX81" s="168">
        <v>242998</v>
      </c>
      <c r="LY81" s="21"/>
      <c r="LZ81" s="21"/>
      <c r="MA81" s="168">
        <v>38049654</v>
      </c>
      <c r="MB81" s="168">
        <v>36728954</v>
      </c>
      <c r="MC81" s="168">
        <v>710653</v>
      </c>
      <c r="MD81" s="168">
        <v>344590</v>
      </c>
      <c r="ME81" s="21"/>
      <c r="MF81" s="21"/>
      <c r="MG81" s="168">
        <v>130480</v>
      </c>
      <c r="MH81" s="168">
        <v>132786</v>
      </c>
      <c r="MI81" s="168">
        <v>490565</v>
      </c>
      <c r="MJ81" s="168">
        <v>490565</v>
      </c>
      <c r="MK81" s="21"/>
      <c r="ML81" s="21"/>
      <c r="MM81" s="168">
        <v>6591775</v>
      </c>
      <c r="MN81" s="168">
        <v>6979569</v>
      </c>
      <c r="MO81" s="168">
        <v>8845033</v>
      </c>
      <c r="MP81" s="168">
        <v>7811186</v>
      </c>
      <c r="MQ81" s="168">
        <v>4835363</v>
      </c>
      <c r="MR81" s="168">
        <v>5585118</v>
      </c>
      <c r="MS81" s="21"/>
      <c r="MT81" s="21"/>
      <c r="MU81" s="21"/>
      <c r="MV81" s="21"/>
      <c r="MW81" s="168">
        <v>7220604</v>
      </c>
      <c r="MX81" s="168">
        <v>7100434</v>
      </c>
      <c r="MY81" s="168">
        <v>7148131</v>
      </c>
      <c r="MZ81" s="168">
        <v>7762545</v>
      </c>
      <c r="NA81" s="168">
        <v>3677936</v>
      </c>
      <c r="NB81" s="168">
        <v>3473524</v>
      </c>
      <c r="NC81" s="168">
        <v>419150</v>
      </c>
      <c r="ND81" s="168">
        <v>3285470</v>
      </c>
      <c r="NE81" s="21"/>
      <c r="NF81" s="21"/>
      <c r="NG81" s="168">
        <v>72972437</v>
      </c>
      <c r="NH81" s="168">
        <v>74785453</v>
      </c>
      <c r="NI81" s="21"/>
      <c r="NJ81" s="21"/>
      <c r="NK81" s="168">
        <v>2190</v>
      </c>
      <c r="NL81" s="168">
        <v>2189</v>
      </c>
      <c r="NM81" s="168">
        <v>92128452</v>
      </c>
      <c r="NN81" s="168">
        <v>108893885</v>
      </c>
      <c r="NO81" s="168">
        <v>178913963</v>
      </c>
      <c r="NP81" s="168">
        <v>197210616</v>
      </c>
      <c r="NQ81" s="168" t="s">
        <v>1155</v>
      </c>
      <c r="NR81" s="168" t="s">
        <v>775</v>
      </c>
      <c r="NS81" s="168" t="s">
        <v>770</v>
      </c>
      <c r="NT81" s="168" t="s">
        <v>771</v>
      </c>
      <c r="NU81" s="168">
        <v>6002</v>
      </c>
      <c r="NV81" s="168" t="s">
        <v>2104</v>
      </c>
      <c r="NW81" s="168" t="s">
        <v>28</v>
      </c>
      <c r="NX81" s="168" t="s">
        <v>25</v>
      </c>
      <c r="NY81" s="169">
        <v>42916</v>
      </c>
      <c r="NZ81" s="169">
        <v>42551</v>
      </c>
      <c r="OA81" s="169">
        <v>43118</v>
      </c>
      <c r="OB81" s="168" t="s">
        <v>1156</v>
      </c>
      <c r="OC81" s="168">
        <v>12</v>
      </c>
      <c r="OD81" s="168" t="s">
        <v>2105</v>
      </c>
      <c r="OE81" s="168" t="s">
        <v>2171</v>
      </c>
      <c r="OF81" s="168" t="s">
        <v>2339</v>
      </c>
      <c r="OG81" s="168" t="s">
        <v>1905</v>
      </c>
      <c r="OH81" s="168" t="s">
        <v>996</v>
      </c>
      <c r="OI81" s="168" t="s">
        <v>766</v>
      </c>
      <c r="OJ81" s="168" t="s">
        <v>3240</v>
      </c>
      <c r="OK81" s="168" t="s">
        <v>773</v>
      </c>
    </row>
    <row r="82" spans="1:401" x14ac:dyDescent="0.2">
      <c r="A82" s="170" t="str">
        <f>Liste[[#This Row],[Siren]]</f>
        <v>818248734</v>
      </c>
      <c r="B82" s="198" t="str">
        <f>Liste[[#This Row],[Dénomination]]&amp;" - comptes "&amp;YEAR(Liste[[#This Row],[Date de cloture de l''exercice]])</f>
        <v>FINANCIERE WELLS - comptes 2017</v>
      </c>
      <c r="C82" s="21"/>
      <c r="D82" s="21"/>
      <c r="E82" s="21"/>
      <c r="F82" s="168">
        <v>13925000</v>
      </c>
      <c r="G82" s="21"/>
      <c r="H82" s="21"/>
      <c r="I82" s="21"/>
      <c r="J82" s="168">
        <v>12360000</v>
      </c>
      <c r="K82" s="21"/>
      <c r="L82" s="21"/>
      <c r="M82" s="21"/>
      <c r="N82" s="168">
        <v>503000</v>
      </c>
      <c r="O82" s="21"/>
      <c r="P82" s="21"/>
      <c r="Q82" s="21"/>
      <c r="R82" s="168">
        <v>1811000</v>
      </c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168">
        <v>27853000</v>
      </c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168">
        <v>78482000</v>
      </c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168">
        <v>93156000</v>
      </c>
      <c r="EM82" s="21"/>
      <c r="EN82" s="21"/>
      <c r="EO82" s="21"/>
      <c r="EP82" s="168">
        <v>78944000</v>
      </c>
      <c r="EQ82" s="21"/>
      <c r="ER82" s="21"/>
      <c r="ES82" s="21"/>
      <c r="ET82" s="168">
        <v>172101000</v>
      </c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168">
        <v>170000</v>
      </c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1"/>
      <c r="GC82" s="21"/>
      <c r="GD82" s="21"/>
      <c r="GE82" s="21"/>
      <c r="GF82" s="21"/>
      <c r="GG82" s="21"/>
      <c r="GH82" s="21"/>
      <c r="GI82" s="21"/>
      <c r="GJ82" s="21"/>
      <c r="GK82" s="21"/>
      <c r="GL82" s="21"/>
      <c r="GM82" s="168">
        <v>10299000</v>
      </c>
      <c r="GN82" s="21"/>
      <c r="GO82" s="168">
        <v>1458000</v>
      </c>
      <c r="GP82" s="21"/>
      <c r="GQ82" s="21"/>
      <c r="GR82" s="21"/>
      <c r="GS82" s="21"/>
      <c r="GT82" s="21"/>
      <c r="GU82" s="21"/>
      <c r="GV82" s="21"/>
      <c r="GW82" s="21"/>
      <c r="GX82" s="21"/>
      <c r="GY82" s="21"/>
      <c r="GZ82" s="21"/>
      <c r="HA82" s="21"/>
      <c r="HB82" s="21"/>
      <c r="HC82" s="21"/>
      <c r="HD82" s="21"/>
      <c r="HE82" s="21"/>
      <c r="HF82" s="21"/>
      <c r="HG82" s="21"/>
      <c r="HH82" s="21"/>
      <c r="HI82" s="168">
        <v>4672000</v>
      </c>
      <c r="HJ82" s="21"/>
      <c r="HK82" s="21"/>
      <c r="HL82" s="21"/>
      <c r="HM82" s="21"/>
      <c r="HN82" s="21"/>
      <c r="HO82" s="21"/>
      <c r="HP82" s="21"/>
      <c r="HQ82" s="21"/>
      <c r="HR82" s="21"/>
      <c r="HS82" s="21"/>
      <c r="HT82" s="21"/>
      <c r="HU82" s="21"/>
      <c r="HV82" s="21"/>
      <c r="HW82" s="21"/>
      <c r="HX82" s="21"/>
      <c r="HY82" s="21"/>
      <c r="HZ82" s="21"/>
      <c r="IA82" s="21"/>
      <c r="IB82" s="21"/>
      <c r="IC82" s="21"/>
      <c r="ID82" s="21"/>
      <c r="IE82" s="21"/>
      <c r="IF82" s="21"/>
      <c r="IG82" s="21"/>
      <c r="IH82" s="21"/>
      <c r="II82" s="21"/>
      <c r="IJ82" s="21"/>
      <c r="IK82" s="21"/>
      <c r="IL82" s="21"/>
      <c r="IM82" s="21"/>
      <c r="IN82" s="21"/>
      <c r="IO82" s="21"/>
      <c r="IP82" s="21"/>
      <c r="IQ82" s="21"/>
      <c r="IR82" s="21"/>
      <c r="IS82" s="21"/>
      <c r="IT82" s="21"/>
      <c r="IU82" s="21"/>
      <c r="IV82" s="21"/>
      <c r="IW82" s="168">
        <v>12980000</v>
      </c>
      <c r="IX82" s="21"/>
      <c r="IY82" s="21"/>
      <c r="IZ82" s="21"/>
      <c r="JA82" s="21"/>
      <c r="JB82" s="21"/>
      <c r="JC82" s="21"/>
      <c r="JD82" s="21"/>
      <c r="JE82" s="21"/>
      <c r="JF82" s="21"/>
      <c r="JG82" s="21"/>
      <c r="JH82" s="21"/>
      <c r="JI82" s="21"/>
      <c r="JJ82" s="21"/>
      <c r="JK82" s="21"/>
      <c r="JL82" s="21"/>
      <c r="JM82" s="21"/>
      <c r="JN82" s="21"/>
      <c r="JO82" s="21"/>
      <c r="JP82" s="21"/>
      <c r="JQ82" s="21"/>
      <c r="JR82" s="21"/>
      <c r="JS82" s="21"/>
      <c r="JT82" s="21"/>
      <c r="JU82" s="21"/>
      <c r="JV82" s="21"/>
      <c r="JW82" s="168">
        <v>193292000</v>
      </c>
      <c r="JX82" s="21"/>
      <c r="JY82" s="21"/>
      <c r="JZ82" s="21"/>
      <c r="KA82" s="21"/>
      <c r="KB82" s="21"/>
      <c r="KC82" s="21"/>
      <c r="KD82" s="21"/>
      <c r="KE82" s="21"/>
      <c r="KF82" s="21"/>
      <c r="KG82" s="21"/>
      <c r="KH82" s="21"/>
      <c r="KI82" s="168">
        <v>193292000</v>
      </c>
      <c r="KJ82" s="21"/>
      <c r="KK82" s="21"/>
      <c r="KL82" s="21"/>
      <c r="KM82" s="21"/>
      <c r="KN82" s="21"/>
      <c r="KO82" s="21"/>
      <c r="KP82" s="21"/>
      <c r="KQ82" s="168">
        <v>16640000</v>
      </c>
      <c r="KR82" s="21"/>
      <c r="KS82" s="21"/>
      <c r="KT82" s="21"/>
      <c r="KU82" s="21"/>
      <c r="KV82" s="21"/>
      <c r="KW82" s="21"/>
      <c r="KX82" s="21"/>
      <c r="KY82" s="21"/>
      <c r="KZ82" s="21"/>
      <c r="LA82" s="168">
        <v>33846000</v>
      </c>
      <c r="LB82" s="21"/>
      <c r="LC82" s="21"/>
      <c r="LD82" s="21"/>
      <c r="LE82" s="21"/>
      <c r="LF82" s="21"/>
      <c r="LG82" s="21"/>
      <c r="LH82" s="21"/>
      <c r="LI82" s="21"/>
      <c r="LJ82" s="21"/>
      <c r="LK82" s="168">
        <v>20447000</v>
      </c>
      <c r="LL82" s="21"/>
      <c r="LM82" s="21"/>
      <c r="LN82" s="21"/>
      <c r="LO82" s="21"/>
      <c r="LP82" s="21"/>
      <c r="LQ82" s="21"/>
      <c r="LR82" s="21"/>
      <c r="LS82" s="21"/>
      <c r="LT82" s="21"/>
      <c r="LU82" s="21"/>
      <c r="LV82" s="21"/>
      <c r="LW82" s="21"/>
      <c r="LX82" s="21"/>
      <c r="LY82" s="21"/>
      <c r="LZ82" s="21"/>
      <c r="MA82" s="21"/>
      <c r="MB82" s="21"/>
      <c r="MC82" s="168">
        <v>92632000</v>
      </c>
      <c r="MD82" s="21"/>
      <c r="ME82" s="21"/>
      <c r="MF82" s="21"/>
      <c r="MG82" s="21"/>
      <c r="MH82" s="21"/>
      <c r="MI82" s="21"/>
      <c r="MJ82" s="21"/>
      <c r="MK82" s="21"/>
      <c r="ML82" s="21"/>
      <c r="MM82" s="21"/>
      <c r="MN82" s="21"/>
      <c r="MO82" s="21"/>
      <c r="MP82" s="21"/>
      <c r="MQ82" s="21"/>
      <c r="MR82" s="21"/>
      <c r="MS82" s="21"/>
      <c r="MT82" s="21"/>
      <c r="MU82" s="21"/>
      <c r="MV82" s="21"/>
      <c r="MW82" s="21"/>
      <c r="MX82" s="21"/>
      <c r="MY82" s="21"/>
      <c r="MZ82" s="21"/>
      <c r="NA82" s="21"/>
      <c r="NB82" s="21"/>
      <c r="NC82" s="21"/>
      <c r="ND82" s="21"/>
      <c r="NE82" s="21"/>
      <c r="NF82" s="21"/>
      <c r="NG82" s="168">
        <v>36581000</v>
      </c>
      <c r="NH82" s="21"/>
      <c r="NI82" s="21"/>
      <c r="NJ82" s="21"/>
      <c r="NK82" s="21"/>
      <c r="NL82" s="21"/>
      <c r="NM82" s="168">
        <v>135520000</v>
      </c>
      <c r="NN82" s="21"/>
      <c r="NO82" s="168">
        <v>172101000</v>
      </c>
      <c r="NP82" s="21"/>
      <c r="NQ82" s="168" t="s">
        <v>836</v>
      </c>
      <c r="NR82" s="168" t="s">
        <v>797</v>
      </c>
      <c r="NS82" s="168" t="s">
        <v>770</v>
      </c>
      <c r="NT82" s="168" t="s">
        <v>771</v>
      </c>
      <c r="NU82" s="168">
        <v>7501</v>
      </c>
      <c r="NV82" s="168" t="s">
        <v>2104</v>
      </c>
      <c r="NW82" s="168" t="s">
        <v>28</v>
      </c>
      <c r="NX82" s="168" t="s">
        <v>25</v>
      </c>
      <c r="NY82" s="169">
        <v>42916</v>
      </c>
      <c r="NZ82" s="21"/>
      <c r="OA82" s="169">
        <v>43098</v>
      </c>
      <c r="OB82" s="168" t="s">
        <v>3438</v>
      </c>
      <c r="OC82" s="168">
        <v>17</v>
      </c>
      <c r="OD82" s="168" t="s">
        <v>2105</v>
      </c>
      <c r="OE82" s="168" t="s">
        <v>2433</v>
      </c>
      <c r="OF82" s="168" t="s">
        <v>3439</v>
      </c>
      <c r="OG82" s="168" t="s">
        <v>3440</v>
      </c>
      <c r="OH82" s="168" t="s">
        <v>765</v>
      </c>
      <c r="OI82" s="168" t="s">
        <v>766</v>
      </c>
      <c r="OJ82" s="168" t="s">
        <v>3240</v>
      </c>
      <c r="OK82" s="168" t="s">
        <v>796</v>
      </c>
    </row>
    <row r="83" spans="1:401" x14ac:dyDescent="0.2">
      <c r="A83" s="170" t="str">
        <f>Liste[[#This Row],[Siren]]</f>
        <v>752468918</v>
      </c>
      <c r="B83" s="198" t="str">
        <f>Liste[[#This Row],[Dénomination]]&amp;" - comptes "&amp;YEAR(Liste[[#This Row],[Date de cloture de l''exercice]])</f>
        <v>MAYENCE FRANCE - comptes 2017</v>
      </c>
      <c r="C83" s="21"/>
      <c r="D83" s="21"/>
      <c r="E83" s="168">
        <v>60000</v>
      </c>
      <c r="F83" s="168">
        <v>6377000</v>
      </c>
      <c r="G83" s="168">
        <v>5443000</v>
      </c>
      <c r="H83" s="168">
        <v>6437000</v>
      </c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168">
        <v>6000</v>
      </c>
      <c r="BA83" s="21"/>
      <c r="BB83" s="168">
        <v>6000</v>
      </c>
      <c r="BC83" s="21"/>
      <c r="BD83" s="168">
        <v>1007000</v>
      </c>
      <c r="BE83" s="168">
        <v>946000</v>
      </c>
      <c r="BF83" s="168">
        <v>1007000</v>
      </c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168">
        <v>43000</v>
      </c>
      <c r="EM83" s="21"/>
      <c r="EN83" s="168">
        <v>43000</v>
      </c>
      <c r="EO83" s="168">
        <v>60000</v>
      </c>
      <c r="EP83" s="168">
        <v>7487000</v>
      </c>
      <c r="EQ83" s="168">
        <v>6437000</v>
      </c>
      <c r="ER83" s="168">
        <v>7547000</v>
      </c>
      <c r="ES83" s="168">
        <v>60000</v>
      </c>
      <c r="ET83" s="168">
        <v>7531000</v>
      </c>
      <c r="EU83" s="168">
        <v>6437000</v>
      </c>
      <c r="EV83" s="168">
        <v>7590000</v>
      </c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168">
        <v>-1000</v>
      </c>
      <c r="FK83" s="21"/>
      <c r="FL83" s="21"/>
      <c r="FM83" s="21"/>
      <c r="FN83" s="168">
        <v>1000</v>
      </c>
      <c r="FO83" s="21"/>
      <c r="FP83" s="21"/>
      <c r="FQ83" s="21"/>
      <c r="FR83" s="21"/>
      <c r="FS83" s="21"/>
      <c r="FT83" s="21"/>
      <c r="FU83" s="21"/>
      <c r="FV83" s="21"/>
      <c r="FW83" s="21"/>
      <c r="FX83" s="168">
        <v>5000</v>
      </c>
      <c r="FY83" s="21"/>
      <c r="FZ83" s="21"/>
      <c r="GA83" s="21"/>
      <c r="GB83" s="21"/>
      <c r="GC83" s="21"/>
      <c r="GD83" s="21"/>
      <c r="GE83" s="21"/>
      <c r="GF83" s="21"/>
      <c r="GG83" s="21"/>
      <c r="GH83" s="21"/>
      <c r="GI83" s="21"/>
      <c r="GJ83" s="21"/>
      <c r="GK83" s="21"/>
      <c r="GL83" s="21"/>
      <c r="GM83" s="168">
        <v>12000</v>
      </c>
      <c r="GN83" s="168">
        <v>9000</v>
      </c>
      <c r="GO83" s="21"/>
      <c r="GP83" s="21"/>
      <c r="GQ83" s="21"/>
      <c r="GR83" s="21"/>
      <c r="GS83" s="168">
        <v>12000</v>
      </c>
      <c r="GT83" s="168">
        <v>9000</v>
      </c>
      <c r="GU83" s="21"/>
      <c r="GV83" s="168">
        <v>1000</v>
      </c>
      <c r="GW83" s="21"/>
      <c r="GX83" s="21"/>
      <c r="GY83" s="168">
        <v>4578000</v>
      </c>
      <c r="GZ83" s="168">
        <v>4308000</v>
      </c>
      <c r="HA83" s="21"/>
      <c r="HB83" s="21"/>
      <c r="HC83" s="168">
        <v>1554000</v>
      </c>
      <c r="HD83" s="168">
        <v>1028000</v>
      </c>
      <c r="HE83" s="168">
        <v>6000</v>
      </c>
      <c r="HF83" s="168">
        <v>40000</v>
      </c>
      <c r="HG83" s="168">
        <v>3000</v>
      </c>
      <c r="HH83" s="168">
        <v>5000</v>
      </c>
      <c r="HI83" s="168">
        <v>10000</v>
      </c>
      <c r="HJ83" s="168">
        <v>228000</v>
      </c>
      <c r="HK83" s="21"/>
      <c r="HL83" s="21"/>
      <c r="HM83" s="21"/>
      <c r="HN83" s="21"/>
      <c r="HO83" s="168">
        <v>153000</v>
      </c>
      <c r="HP83" s="168">
        <v>168000</v>
      </c>
      <c r="HQ83" s="21"/>
      <c r="HR83" s="21"/>
      <c r="HS83" s="21"/>
      <c r="HT83" s="21"/>
      <c r="HU83" s="21"/>
      <c r="HV83" s="21"/>
      <c r="HW83" s="21"/>
      <c r="HX83" s="21"/>
      <c r="HY83" s="168">
        <v>33000</v>
      </c>
      <c r="HZ83" s="21"/>
      <c r="IA83" s="21"/>
      <c r="IB83" s="21"/>
      <c r="IC83" s="21"/>
      <c r="ID83" s="21"/>
      <c r="IE83" s="168">
        <v>16000</v>
      </c>
      <c r="IF83" s="168">
        <v>44000</v>
      </c>
      <c r="IG83" s="168">
        <v>12000</v>
      </c>
      <c r="IH83" s="168">
        <v>5000</v>
      </c>
      <c r="II83" s="21"/>
      <c r="IJ83" s="21"/>
      <c r="IK83" s="21"/>
      <c r="IL83" s="21"/>
      <c r="IM83" s="21"/>
      <c r="IN83" s="21"/>
      <c r="IO83" s="21"/>
      <c r="IP83" s="21"/>
      <c r="IQ83" s="21"/>
      <c r="IR83" s="21"/>
      <c r="IS83" s="21"/>
      <c r="IT83" s="21"/>
      <c r="IU83" s="168">
        <v>12000</v>
      </c>
      <c r="IV83" s="168">
        <v>15000</v>
      </c>
      <c r="IW83" s="168">
        <v>22000</v>
      </c>
      <c r="IX83" s="168">
        <v>15000</v>
      </c>
      <c r="IY83" s="168">
        <v>-9000</v>
      </c>
      <c r="IZ83" s="21"/>
      <c r="JA83" s="21"/>
      <c r="JB83" s="168">
        <v>38000</v>
      </c>
      <c r="JC83" s="21"/>
      <c r="JD83" s="21"/>
      <c r="JE83" s="168">
        <v>379000</v>
      </c>
      <c r="JF83" s="168">
        <v>470000</v>
      </c>
      <c r="JG83" s="21"/>
      <c r="JH83" s="21"/>
      <c r="JI83" s="168">
        <v>6718000</v>
      </c>
      <c r="JJ83" s="168">
        <v>6058000</v>
      </c>
      <c r="JK83" s="168">
        <v>12000</v>
      </c>
      <c r="JL83" s="168">
        <v>5000</v>
      </c>
      <c r="JM83" s="168">
        <v>6740000</v>
      </c>
      <c r="JN83" s="168">
        <v>6073000</v>
      </c>
      <c r="JO83" s="168">
        <v>3000</v>
      </c>
      <c r="JP83" s="168">
        <v>5000</v>
      </c>
      <c r="JQ83" s="21"/>
      <c r="JR83" s="21"/>
      <c r="JS83" s="21"/>
      <c r="JT83" s="21"/>
      <c r="JU83" s="21"/>
      <c r="JV83" s="21"/>
      <c r="JW83" s="168">
        <v>6730000</v>
      </c>
      <c r="JX83" s="168">
        <v>5806000</v>
      </c>
      <c r="JY83" s="21"/>
      <c r="JZ83" s="21"/>
      <c r="KA83" s="168">
        <v>6730000</v>
      </c>
      <c r="KB83" s="168">
        <v>5806000</v>
      </c>
      <c r="KC83" s="21"/>
      <c r="KD83" s="21"/>
      <c r="KE83" s="21"/>
      <c r="KF83" s="21"/>
      <c r="KG83" s="21"/>
      <c r="KH83" s="21"/>
      <c r="KI83" s="21"/>
      <c r="KJ83" s="21"/>
      <c r="KK83" s="21"/>
      <c r="KL83" s="21"/>
      <c r="KM83" s="21"/>
      <c r="KN83" s="21"/>
      <c r="KO83" s="21"/>
      <c r="KP83" s="21"/>
      <c r="KQ83" s="168">
        <v>966000</v>
      </c>
      <c r="KR83" s="168">
        <v>966000</v>
      </c>
      <c r="KS83" s="21"/>
      <c r="KT83" s="21"/>
      <c r="KU83" s="21"/>
      <c r="KV83" s="21"/>
      <c r="KW83" s="21"/>
      <c r="KX83" s="21"/>
      <c r="KY83" s="21"/>
      <c r="KZ83" s="21"/>
      <c r="LA83" s="168">
        <v>200000</v>
      </c>
      <c r="LB83" s="168">
        <v>200000</v>
      </c>
      <c r="LC83" s="21"/>
      <c r="LD83" s="21"/>
      <c r="LE83" s="21"/>
      <c r="LF83" s="21"/>
      <c r="LG83" s="21"/>
      <c r="LH83" s="21"/>
      <c r="LI83" s="168">
        <v>1203000</v>
      </c>
      <c r="LJ83" s="168">
        <v>1206000</v>
      </c>
      <c r="LK83" s="168">
        <v>4799000</v>
      </c>
      <c r="LL83" s="168">
        <v>3888000</v>
      </c>
      <c r="LM83" s="21"/>
      <c r="LN83" s="21"/>
      <c r="LO83" s="21"/>
      <c r="LP83" s="21"/>
      <c r="LQ83" s="21"/>
      <c r="LR83" s="21"/>
      <c r="LS83" s="21"/>
      <c r="LT83" s="21"/>
      <c r="LU83" s="21"/>
      <c r="LV83" s="21"/>
      <c r="LW83" s="21"/>
      <c r="LX83" s="21"/>
      <c r="LY83" s="21"/>
      <c r="LZ83" s="21"/>
      <c r="MA83" s="21"/>
      <c r="MB83" s="21"/>
      <c r="MC83" s="168">
        <v>289000</v>
      </c>
      <c r="MD83" s="168">
        <v>149000</v>
      </c>
      <c r="ME83" s="21"/>
      <c r="MF83" s="21"/>
      <c r="MG83" s="21"/>
      <c r="MH83" s="21"/>
      <c r="MI83" s="21"/>
      <c r="MJ83" s="21"/>
      <c r="MK83" s="21"/>
      <c r="ML83" s="21"/>
      <c r="MM83" s="21"/>
      <c r="MN83" s="21"/>
      <c r="MO83" s="21"/>
      <c r="MP83" s="21"/>
      <c r="MQ83" s="21"/>
      <c r="MR83" s="21"/>
      <c r="MS83" s="21"/>
      <c r="MT83" s="21"/>
      <c r="MU83" s="168">
        <v>27000</v>
      </c>
      <c r="MV83" s="168">
        <v>18000</v>
      </c>
      <c r="MW83" s="21"/>
      <c r="MX83" s="21"/>
      <c r="MY83" s="21"/>
      <c r="MZ83" s="21"/>
      <c r="NA83" s="21"/>
      <c r="NB83" s="21"/>
      <c r="NC83" s="168">
        <v>12000</v>
      </c>
      <c r="ND83" s="168">
        <v>10000</v>
      </c>
      <c r="NE83" s="21"/>
      <c r="NF83" s="21"/>
      <c r="NG83" s="168">
        <v>241000</v>
      </c>
      <c r="NH83" s="168">
        <v>229000</v>
      </c>
      <c r="NI83" s="21"/>
      <c r="NJ83" s="21"/>
      <c r="NK83" s="21"/>
      <c r="NL83" s="21"/>
      <c r="NM83" s="168">
        <v>7257000</v>
      </c>
      <c r="NN83" s="168">
        <v>6208000</v>
      </c>
      <c r="NO83" s="168">
        <v>7531000</v>
      </c>
      <c r="NP83" s="168">
        <v>6437000</v>
      </c>
      <c r="NQ83" s="168" t="s">
        <v>903</v>
      </c>
      <c r="NR83" s="168" t="s">
        <v>982</v>
      </c>
      <c r="NS83" s="168" t="s">
        <v>770</v>
      </c>
      <c r="NT83" s="168" t="s">
        <v>771</v>
      </c>
      <c r="NU83" s="168">
        <v>9201</v>
      </c>
      <c r="NV83" s="168" t="s">
        <v>2104</v>
      </c>
      <c r="NW83" s="168" t="s">
        <v>28</v>
      </c>
      <c r="NX83" s="168" t="s">
        <v>25</v>
      </c>
      <c r="NY83" s="169">
        <v>42916</v>
      </c>
      <c r="NZ83" s="169">
        <v>42551</v>
      </c>
      <c r="OA83" s="169">
        <v>43115</v>
      </c>
      <c r="OB83" s="168" t="s">
        <v>3441</v>
      </c>
      <c r="OC83" s="168">
        <v>12</v>
      </c>
      <c r="OD83" s="168" t="s">
        <v>2106</v>
      </c>
      <c r="OE83" s="168" t="s">
        <v>2222</v>
      </c>
      <c r="OF83" s="168" t="s">
        <v>3442</v>
      </c>
      <c r="OG83" s="168" t="s">
        <v>3443</v>
      </c>
      <c r="OH83" s="168" t="s">
        <v>777</v>
      </c>
      <c r="OI83" s="168" t="s">
        <v>766</v>
      </c>
      <c r="OJ83" s="168" t="s">
        <v>3240</v>
      </c>
      <c r="OK83" s="168" t="s">
        <v>981</v>
      </c>
    </row>
    <row r="84" spans="1:401" x14ac:dyDescent="0.2">
      <c r="A84" s="170" t="str">
        <f>Liste[[#This Row],[Siren]]</f>
        <v>754012094</v>
      </c>
      <c r="B84" s="198" t="str">
        <f>Liste[[#This Row],[Dénomination]]&amp;" - comptes "&amp;YEAR(Liste[[#This Row],[Date de cloture de l''exercice]])</f>
        <v>FINACHEF - comptes 2017</v>
      </c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168">
        <v>41504000</v>
      </c>
      <c r="BE84" s="168">
        <v>38251000</v>
      </c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168">
        <v>2473000</v>
      </c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168">
        <v>235259000</v>
      </c>
      <c r="EM84" s="168">
        <v>231575000</v>
      </c>
      <c r="EN84" s="21"/>
      <c r="EO84" s="21"/>
      <c r="EP84" s="168">
        <v>178505000</v>
      </c>
      <c r="EQ84" s="168">
        <v>171531000</v>
      </c>
      <c r="ER84" s="21"/>
      <c r="ES84" s="21"/>
      <c r="ET84" s="168">
        <v>413764000</v>
      </c>
      <c r="EU84" s="168">
        <v>403106000</v>
      </c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168">
        <v>39490000</v>
      </c>
      <c r="FG84" s="168">
        <v>34515000</v>
      </c>
      <c r="FH84" s="21"/>
      <c r="FI84" s="168">
        <v>-428000</v>
      </c>
      <c r="FJ84" s="168">
        <v>-6462000</v>
      </c>
      <c r="FK84" s="21"/>
      <c r="FL84" s="21"/>
      <c r="FM84" s="21"/>
      <c r="FN84" s="21"/>
      <c r="FO84" s="21"/>
      <c r="FP84" s="21"/>
      <c r="FQ84" s="168">
        <v>-153000</v>
      </c>
      <c r="FR84" s="21"/>
      <c r="FS84" s="21"/>
      <c r="FT84" s="21"/>
      <c r="FU84" s="21"/>
      <c r="FV84" s="21"/>
      <c r="FW84" s="168">
        <v>3326000</v>
      </c>
      <c r="FX84" s="168">
        <v>-483000</v>
      </c>
      <c r="FY84" s="168">
        <v>14915000</v>
      </c>
      <c r="FZ84" s="168">
        <v>6179000</v>
      </c>
      <c r="GA84" s="21"/>
      <c r="GB84" s="21"/>
      <c r="GC84" s="21"/>
      <c r="GD84" s="21"/>
      <c r="GE84" s="21"/>
      <c r="GF84" s="21"/>
      <c r="GG84" s="21"/>
      <c r="GH84" s="21"/>
      <c r="GI84" s="21"/>
      <c r="GJ84" s="21"/>
      <c r="GK84" s="21"/>
      <c r="GL84" s="21"/>
      <c r="GM84" s="168">
        <v>21945000</v>
      </c>
      <c r="GN84" s="168">
        <v>7892000</v>
      </c>
      <c r="GO84" s="168">
        <v>22098000</v>
      </c>
      <c r="GP84" s="168">
        <v>7892000</v>
      </c>
      <c r="GQ84" s="21"/>
      <c r="GR84" s="21"/>
      <c r="GS84" s="168">
        <v>7031000</v>
      </c>
      <c r="GT84" s="168">
        <v>1714000</v>
      </c>
      <c r="GU84" s="21"/>
      <c r="GV84" s="21"/>
      <c r="GW84" s="21"/>
      <c r="GX84" s="21"/>
      <c r="GY84" s="21"/>
      <c r="GZ84" s="21"/>
      <c r="HA84" s="21"/>
      <c r="HB84" s="21"/>
      <c r="HC84" s="168">
        <v>106969000</v>
      </c>
      <c r="HD84" s="168">
        <v>100883000</v>
      </c>
      <c r="HE84" s="168">
        <v>700000</v>
      </c>
      <c r="HF84" s="168">
        <v>830000</v>
      </c>
      <c r="HG84" s="21"/>
      <c r="HH84" s="21"/>
      <c r="HI84" s="168">
        <v>3486000</v>
      </c>
      <c r="HJ84" s="168">
        <v>6758000</v>
      </c>
      <c r="HK84" s="21"/>
      <c r="HL84" s="21"/>
      <c r="HM84" s="21"/>
      <c r="HN84" s="21"/>
      <c r="HO84" s="21"/>
      <c r="HP84" s="21"/>
      <c r="HQ84" s="21"/>
      <c r="HR84" s="21"/>
      <c r="HS84" s="21"/>
      <c r="HT84" s="21"/>
      <c r="HU84" s="21"/>
      <c r="HV84" s="21"/>
      <c r="HW84" s="21"/>
      <c r="HX84" s="21"/>
      <c r="HY84" s="21"/>
      <c r="HZ84" s="21"/>
      <c r="IA84" s="21"/>
      <c r="IB84" s="21"/>
      <c r="IC84" s="21"/>
      <c r="ID84" s="21"/>
      <c r="IE84" s="168">
        <v>4019000</v>
      </c>
      <c r="IF84" s="168">
        <v>4072000</v>
      </c>
      <c r="IG84" s="21"/>
      <c r="IH84" s="21"/>
      <c r="II84" s="21"/>
      <c r="IJ84" s="21"/>
      <c r="IK84" s="21"/>
      <c r="IL84" s="21"/>
      <c r="IM84" s="21"/>
      <c r="IN84" s="21"/>
      <c r="IO84" s="21"/>
      <c r="IP84" s="21"/>
      <c r="IQ84" s="21"/>
      <c r="IR84" s="21"/>
      <c r="IS84" s="21"/>
      <c r="IT84" s="21"/>
      <c r="IU84" s="168">
        <v>19200000</v>
      </c>
      <c r="IV84" s="168">
        <v>14837000</v>
      </c>
      <c r="IW84" s="168">
        <v>33053000</v>
      </c>
      <c r="IX84" s="168">
        <v>28501000</v>
      </c>
      <c r="IY84" s="168">
        <v>-13853000</v>
      </c>
      <c r="IZ84" s="168">
        <v>-13664000</v>
      </c>
      <c r="JA84" s="21"/>
      <c r="JB84" s="21"/>
      <c r="JC84" s="21"/>
      <c r="JD84" s="21"/>
      <c r="JE84" s="168">
        <v>59374000</v>
      </c>
      <c r="JF84" s="168">
        <v>59488000</v>
      </c>
      <c r="JG84" s="21"/>
      <c r="JH84" s="21"/>
      <c r="JI84" s="168">
        <v>221884000</v>
      </c>
      <c r="JJ84" s="168">
        <v>211521000</v>
      </c>
      <c r="JK84" s="168">
        <v>-14728000</v>
      </c>
      <c r="JL84" s="168">
        <v>-14526000</v>
      </c>
      <c r="JM84" s="168">
        <v>254937000</v>
      </c>
      <c r="JN84" s="168">
        <v>240022000</v>
      </c>
      <c r="JO84" s="168">
        <v>876000</v>
      </c>
      <c r="JP84" s="168">
        <v>863000</v>
      </c>
      <c r="JQ84" s="21"/>
      <c r="JR84" s="21"/>
      <c r="JS84" s="21"/>
      <c r="JT84" s="21"/>
      <c r="JU84" s="21"/>
      <c r="JV84" s="21"/>
      <c r="JW84" s="168">
        <v>251451000</v>
      </c>
      <c r="JX84" s="168">
        <v>233263000</v>
      </c>
      <c r="JY84" s="21"/>
      <c r="JZ84" s="21"/>
      <c r="KA84" s="21"/>
      <c r="KB84" s="21"/>
      <c r="KC84" s="21"/>
      <c r="KD84" s="21"/>
      <c r="KE84" s="21"/>
      <c r="KF84" s="21"/>
      <c r="KG84" s="21"/>
      <c r="KH84" s="21"/>
      <c r="KI84" s="21"/>
      <c r="KJ84" s="21"/>
      <c r="KK84" s="21"/>
      <c r="KL84" s="21"/>
      <c r="KM84" s="21"/>
      <c r="KN84" s="21"/>
      <c r="KO84" s="21"/>
      <c r="KP84" s="21"/>
      <c r="KQ84" s="168">
        <v>25394000</v>
      </c>
      <c r="KR84" s="168">
        <v>26894000</v>
      </c>
      <c r="KS84" s="21"/>
      <c r="KT84" s="21"/>
      <c r="KU84" s="21"/>
      <c r="KV84" s="21"/>
      <c r="KW84" s="21"/>
      <c r="KX84" s="21"/>
      <c r="KY84" s="21"/>
      <c r="KZ84" s="21"/>
      <c r="LA84" s="168">
        <v>20996000</v>
      </c>
      <c r="LB84" s="168">
        <v>20996000</v>
      </c>
      <c r="LC84" s="21"/>
      <c r="LD84" s="21"/>
      <c r="LE84" s="21"/>
      <c r="LF84" s="21"/>
      <c r="LG84" s="21"/>
      <c r="LH84" s="21"/>
      <c r="LI84" s="21"/>
      <c r="LJ84" s="21"/>
      <c r="LK84" s="168">
        <v>35818000</v>
      </c>
      <c r="LL84" s="168">
        <v>32328000</v>
      </c>
      <c r="LM84" s="21"/>
      <c r="LN84" s="21"/>
      <c r="LO84" s="21"/>
      <c r="LP84" s="21"/>
      <c r="LQ84" s="21"/>
      <c r="LR84" s="21"/>
      <c r="LS84" s="21"/>
      <c r="LT84" s="21"/>
      <c r="LU84" s="21"/>
      <c r="LV84" s="21"/>
      <c r="LW84" s="21"/>
      <c r="LX84" s="21"/>
      <c r="LY84" s="21"/>
      <c r="LZ84" s="21"/>
      <c r="MA84" s="21"/>
      <c r="MB84" s="21"/>
      <c r="MC84" s="168">
        <v>177619000</v>
      </c>
      <c r="MD84" s="168">
        <v>175072000</v>
      </c>
      <c r="ME84" s="21"/>
      <c r="MF84" s="21"/>
      <c r="MG84" s="168">
        <v>38744000</v>
      </c>
      <c r="MH84" s="168">
        <v>46390000</v>
      </c>
      <c r="MI84" s="21"/>
      <c r="MJ84" s="21"/>
      <c r="MK84" s="21"/>
      <c r="ML84" s="21"/>
      <c r="MM84" s="21"/>
      <c r="MN84" s="21"/>
      <c r="MO84" s="21"/>
      <c r="MP84" s="21"/>
      <c r="MQ84" s="21"/>
      <c r="MR84" s="21"/>
      <c r="MS84" s="21"/>
      <c r="MT84" s="21"/>
      <c r="MU84" s="21"/>
      <c r="MV84" s="21"/>
      <c r="MW84" s="21"/>
      <c r="MX84" s="21"/>
      <c r="MY84" s="21"/>
      <c r="MZ84" s="21"/>
      <c r="NA84" s="21"/>
      <c r="NB84" s="21"/>
      <c r="NC84" s="168">
        <v>7031000</v>
      </c>
      <c r="ND84" s="168">
        <v>1714000</v>
      </c>
      <c r="NE84" s="21"/>
      <c r="NF84" s="21"/>
      <c r="NG84" s="168">
        <v>32468000</v>
      </c>
      <c r="NH84" s="168">
        <v>25777000</v>
      </c>
      <c r="NI84" s="21"/>
      <c r="NJ84" s="21"/>
      <c r="NK84" s="168">
        <v>70371000</v>
      </c>
      <c r="NL84" s="168">
        <v>63341000</v>
      </c>
      <c r="NM84" s="168">
        <v>247187000</v>
      </c>
      <c r="NN84" s="168">
        <v>241396000</v>
      </c>
      <c r="NO84" s="168">
        <v>413764000</v>
      </c>
      <c r="NP84" s="168">
        <v>403106000</v>
      </c>
      <c r="NQ84" s="168" t="s">
        <v>780</v>
      </c>
      <c r="NR84" s="168" t="s">
        <v>769</v>
      </c>
      <c r="NS84" s="168" t="s">
        <v>770</v>
      </c>
      <c r="NT84" s="168" t="s">
        <v>771</v>
      </c>
      <c r="NU84" s="168">
        <v>9201</v>
      </c>
      <c r="NV84" s="168" t="s">
        <v>2104</v>
      </c>
      <c r="NW84" s="168" t="s">
        <v>28</v>
      </c>
      <c r="NX84" s="168" t="s">
        <v>25</v>
      </c>
      <c r="NY84" s="169">
        <v>42916</v>
      </c>
      <c r="NZ84" s="169">
        <v>42551</v>
      </c>
      <c r="OA84" s="169">
        <v>43110</v>
      </c>
      <c r="OB84" s="168" t="s">
        <v>781</v>
      </c>
      <c r="OC84" s="168">
        <v>12</v>
      </c>
      <c r="OD84" s="168" t="s">
        <v>2105</v>
      </c>
      <c r="OE84" s="168" t="s">
        <v>2207</v>
      </c>
      <c r="OF84" s="168" t="s">
        <v>2108</v>
      </c>
      <c r="OG84" s="168" t="s">
        <v>1819</v>
      </c>
      <c r="OH84" s="168" t="s">
        <v>777</v>
      </c>
      <c r="OI84" s="168" t="s">
        <v>766</v>
      </c>
      <c r="OJ84" s="168" t="s">
        <v>3240</v>
      </c>
      <c r="OK84" s="168" t="s">
        <v>767</v>
      </c>
    </row>
    <row r="85" spans="1:401" x14ac:dyDescent="0.2">
      <c r="A85" s="170" t="str">
        <f>Liste[[#This Row],[Siren]]</f>
        <v>378777734</v>
      </c>
      <c r="B85" s="198" t="str">
        <f>Liste[[#This Row],[Dénomination]]&amp;" - comptes "&amp;YEAR(Liste[[#This Row],[Date de cloture de l''exercice]])</f>
        <v>HOLDING FAMILIALE ISIDORE - H.F.I. - comptes 2017</v>
      </c>
      <c r="C85" s="21"/>
      <c r="D85" s="21"/>
      <c r="E85" s="21"/>
      <c r="F85" s="168">
        <v>1203758</v>
      </c>
      <c r="G85" s="168">
        <v>1222612</v>
      </c>
      <c r="H85" s="168">
        <v>1203758</v>
      </c>
      <c r="I85" s="168">
        <v>3718963</v>
      </c>
      <c r="J85" s="168">
        <v>1038864</v>
      </c>
      <c r="K85" s="168">
        <v>1185933</v>
      </c>
      <c r="L85" s="168">
        <v>4757827</v>
      </c>
      <c r="M85" s="21"/>
      <c r="N85" s="168">
        <v>49057</v>
      </c>
      <c r="O85" s="168">
        <v>48398</v>
      </c>
      <c r="P85" s="168">
        <v>49057</v>
      </c>
      <c r="Q85" s="21"/>
      <c r="R85" s="168">
        <v>29032</v>
      </c>
      <c r="S85" s="21"/>
      <c r="T85" s="168">
        <v>29032</v>
      </c>
      <c r="U85" s="168">
        <v>719440</v>
      </c>
      <c r="V85" s="168">
        <v>2682494</v>
      </c>
      <c r="W85" s="168">
        <v>2858980</v>
      </c>
      <c r="X85" s="168">
        <v>3401934</v>
      </c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168">
        <v>148612</v>
      </c>
      <c r="BA85" s="168">
        <v>133431</v>
      </c>
      <c r="BB85" s="168">
        <v>148612</v>
      </c>
      <c r="BC85" s="168">
        <v>1912598</v>
      </c>
      <c r="BD85" s="168">
        <v>25293308</v>
      </c>
      <c r="BE85" s="168">
        <v>27815995</v>
      </c>
      <c r="BF85" s="168">
        <v>27205906</v>
      </c>
      <c r="BG85" s="168">
        <v>97414</v>
      </c>
      <c r="BH85" s="168">
        <v>16971</v>
      </c>
      <c r="BI85" s="168">
        <v>44350</v>
      </c>
      <c r="BJ85" s="168">
        <v>114385</v>
      </c>
      <c r="BK85" s="168">
        <v>6964890</v>
      </c>
      <c r="BL85" s="168">
        <v>4890184</v>
      </c>
      <c r="BM85" s="168">
        <v>4610309</v>
      </c>
      <c r="BN85" s="168">
        <v>11855074</v>
      </c>
      <c r="BO85" s="21"/>
      <c r="BP85" s="168">
        <v>750000</v>
      </c>
      <c r="BQ85" s="21"/>
      <c r="BR85" s="168">
        <v>750000</v>
      </c>
      <c r="BS85" s="21"/>
      <c r="BT85" s="21"/>
      <c r="BU85" s="21"/>
      <c r="BV85" s="21"/>
      <c r="BW85" s="21"/>
      <c r="BX85" s="168">
        <v>3872640</v>
      </c>
      <c r="BY85" s="168">
        <v>6025593</v>
      </c>
      <c r="BZ85" s="168">
        <v>3872640</v>
      </c>
      <c r="CA85" s="21"/>
      <c r="CB85" s="21"/>
      <c r="CC85" s="21"/>
      <c r="CD85" s="168">
        <v>2952342</v>
      </c>
      <c r="CE85" s="168">
        <v>1445260</v>
      </c>
      <c r="CF85" s="168">
        <v>1587750</v>
      </c>
      <c r="CG85" s="168">
        <v>4397602</v>
      </c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168">
        <v>46803</v>
      </c>
      <c r="CS85" s="21"/>
      <c r="CT85" s="21"/>
      <c r="CU85" s="21"/>
      <c r="CV85" s="21"/>
      <c r="CW85" s="21"/>
      <c r="CX85" s="168">
        <v>69137</v>
      </c>
      <c r="CY85" s="21"/>
      <c r="CZ85" s="21"/>
      <c r="DA85" s="168">
        <v>69137</v>
      </c>
      <c r="DB85" s="21"/>
      <c r="DC85" s="168">
        <v>216094</v>
      </c>
      <c r="DD85" s="168">
        <v>475512</v>
      </c>
      <c r="DE85" s="168">
        <v>216094</v>
      </c>
      <c r="DF85" s="168">
        <v>4356509</v>
      </c>
      <c r="DG85" s="168">
        <v>1310520</v>
      </c>
      <c r="DH85" s="168">
        <v>1157450</v>
      </c>
      <c r="DI85" s="168">
        <v>5667029</v>
      </c>
      <c r="DJ85" s="168">
        <v>33818</v>
      </c>
      <c r="DK85" s="168">
        <v>18093428</v>
      </c>
      <c r="DL85" s="168">
        <v>16383909</v>
      </c>
      <c r="DM85" s="168">
        <v>18127246</v>
      </c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168">
        <v>19079851</v>
      </c>
      <c r="EL85" s="168">
        <v>12943617</v>
      </c>
      <c r="EM85" s="168">
        <v>12442681</v>
      </c>
      <c r="EN85" s="168">
        <v>32023468</v>
      </c>
      <c r="EO85" s="168">
        <v>1946416</v>
      </c>
      <c r="EP85" s="168">
        <v>50693611</v>
      </c>
      <c r="EQ85" s="168">
        <v>53817110</v>
      </c>
      <c r="ER85" s="168">
        <v>52640027</v>
      </c>
      <c r="ES85" s="168">
        <v>21026267</v>
      </c>
      <c r="ET85" s="168">
        <v>63637228</v>
      </c>
      <c r="EU85" s="168">
        <v>66259791</v>
      </c>
      <c r="EV85" s="168">
        <v>84663495</v>
      </c>
      <c r="EW85" s="168">
        <v>201156</v>
      </c>
      <c r="EX85" s="168">
        <v>415141</v>
      </c>
      <c r="EY85" s="168">
        <v>427196</v>
      </c>
      <c r="EZ85" s="168">
        <v>616297</v>
      </c>
      <c r="FA85" s="21"/>
      <c r="FB85" s="168">
        <v>100000</v>
      </c>
      <c r="FC85" s="21"/>
      <c r="FD85" s="168">
        <v>100000</v>
      </c>
      <c r="FE85" s="21"/>
      <c r="FF85" s="168">
        <v>1836923</v>
      </c>
      <c r="FG85" s="168">
        <v>1941980</v>
      </c>
      <c r="FH85" s="168">
        <v>1836923</v>
      </c>
      <c r="FI85" s="168">
        <v>166625</v>
      </c>
      <c r="FJ85" s="168">
        <v>-186794</v>
      </c>
      <c r="FK85" s="21"/>
      <c r="FL85" s="21"/>
      <c r="FM85" s="168">
        <v>14615</v>
      </c>
      <c r="FN85" s="168">
        <v>5177</v>
      </c>
      <c r="FO85" s="168">
        <v>23231</v>
      </c>
      <c r="FP85" s="168">
        <v>613286</v>
      </c>
      <c r="FQ85" s="168">
        <v>187235</v>
      </c>
      <c r="FR85" s="168">
        <v>133791</v>
      </c>
      <c r="FS85" s="168">
        <v>250000</v>
      </c>
      <c r="FT85" s="168">
        <v>250000</v>
      </c>
      <c r="FU85" s="168">
        <v>48649</v>
      </c>
      <c r="FV85" s="168">
        <v>24876</v>
      </c>
      <c r="FW85" s="168">
        <v>1270818</v>
      </c>
      <c r="FX85" s="168">
        <v>1715779</v>
      </c>
      <c r="FY85" s="168">
        <v>319494</v>
      </c>
      <c r="FZ85" s="168">
        <v>338627</v>
      </c>
      <c r="GA85" s="21"/>
      <c r="GB85" s="21"/>
      <c r="GC85" s="168">
        <v>20274</v>
      </c>
      <c r="GD85" s="168">
        <v>61389</v>
      </c>
      <c r="GE85" s="168">
        <v>100947</v>
      </c>
      <c r="GF85" s="168">
        <v>620280</v>
      </c>
      <c r="GG85" s="21"/>
      <c r="GH85" s="21"/>
      <c r="GI85" s="21"/>
      <c r="GJ85" s="21"/>
      <c r="GK85" s="21"/>
      <c r="GL85" s="21"/>
      <c r="GM85" s="168">
        <v>2262310</v>
      </c>
      <c r="GN85" s="168">
        <v>3110774</v>
      </c>
      <c r="GO85" s="168">
        <v>2449546</v>
      </c>
      <c r="GP85" s="168">
        <v>3244665</v>
      </c>
      <c r="GQ85" s="21"/>
      <c r="GR85" s="21"/>
      <c r="GS85" s="168">
        <v>1942816</v>
      </c>
      <c r="GT85" s="168">
        <v>2772147</v>
      </c>
      <c r="GU85" s="168">
        <v>287846</v>
      </c>
      <c r="GV85" s="168">
        <v>868463</v>
      </c>
      <c r="GW85" s="168">
        <v>121221</v>
      </c>
      <c r="GX85" s="168">
        <v>681669</v>
      </c>
      <c r="GY85" s="168">
        <v>62798081</v>
      </c>
      <c r="GZ85" s="168">
        <v>59302102</v>
      </c>
      <c r="HA85" s="21"/>
      <c r="HB85" s="21"/>
      <c r="HC85" s="168">
        <v>4133231</v>
      </c>
      <c r="HD85" s="168">
        <v>4380812</v>
      </c>
      <c r="HE85" s="168">
        <v>45798</v>
      </c>
      <c r="HF85" s="168">
        <v>43304</v>
      </c>
      <c r="HG85" s="168">
        <v>202014</v>
      </c>
      <c r="HH85" s="168">
        <v>175057</v>
      </c>
      <c r="HI85" s="21"/>
      <c r="HJ85" s="21"/>
      <c r="HK85" s="21"/>
      <c r="HL85" s="21"/>
      <c r="HM85" s="21"/>
      <c r="HN85" s="21"/>
      <c r="HO85" s="168">
        <v>2633443</v>
      </c>
      <c r="HP85" s="168">
        <v>2294637</v>
      </c>
      <c r="HQ85" s="21"/>
      <c r="HR85" s="21"/>
      <c r="HS85" s="21"/>
      <c r="HT85" s="21"/>
      <c r="HU85" s="21"/>
      <c r="HV85" s="21"/>
      <c r="HW85" s="21"/>
      <c r="HX85" s="21"/>
      <c r="HY85" s="21"/>
      <c r="HZ85" s="21"/>
      <c r="IA85" s="21"/>
      <c r="IB85" s="21"/>
      <c r="IC85" s="21"/>
      <c r="ID85" s="21"/>
      <c r="IE85" s="168">
        <v>567866</v>
      </c>
      <c r="IF85" s="168">
        <v>582549</v>
      </c>
      <c r="IG85" s="168">
        <v>147893</v>
      </c>
      <c r="IH85" s="168">
        <v>170172</v>
      </c>
      <c r="II85" s="21"/>
      <c r="IJ85" s="21"/>
      <c r="IK85" s="21"/>
      <c r="IL85" s="21"/>
      <c r="IM85" s="21"/>
      <c r="IN85" s="21"/>
      <c r="IO85" s="21"/>
      <c r="IP85" s="21"/>
      <c r="IQ85" s="21"/>
      <c r="IR85" s="168">
        <v>278</v>
      </c>
      <c r="IS85" s="21"/>
      <c r="IT85" s="21"/>
      <c r="IU85" s="168">
        <v>3936637</v>
      </c>
      <c r="IV85" s="168">
        <v>6172014</v>
      </c>
      <c r="IW85" s="168">
        <v>3881616</v>
      </c>
      <c r="IX85" s="168">
        <v>6166851</v>
      </c>
      <c r="IY85" s="168">
        <v>64121</v>
      </c>
      <c r="IZ85" s="168">
        <v>6163</v>
      </c>
      <c r="JA85" s="168">
        <v>1154669</v>
      </c>
      <c r="JB85" s="168">
        <v>947448</v>
      </c>
      <c r="JC85" s="21"/>
      <c r="JD85" s="21"/>
      <c r="JE85" s="168">
        <v>6414562</v>
      </c>
      <c r="JF85" s="168">
        <v>5628190</v>
      </c>
      <c r="JG85" s="21"/>
      <c r="JH85" s="168">
        <v>30000</v>
      </c>
      <c r="JI85" s="168">
        <v>76891339</v>
      </c>
      <c r="JJ85" s="168">
        <v>73676689</v>
      </c>
      <c r="JK85" s="168">
        <v>147893</v>
      </c>
      <c r="JL85" s="168">
        <v>170172</v>
      </c>
      <c r="JM85" s="168">
        <v>80772855</v>
      </c>
      <c r="JN85" s="168">
        <v>78843540</v>
      </c>
      <c r="JO85" s="168">
        <v>202014</v>
      </c>
      <c r="JP85" s="168">
        <v>176335</v>
      </c>
      <c r="JQ85" s="168">
        <v>-1617653</v>
      </c>
      <c r="JR85" s="168">
        <v>-526028</v>
      </c>
      <c r="JS85" s="21"/>
      <c r="JT85" s="21"/>
      <c r="JU85" s="21"/>
      <c r="JV85" s="21"/>
      <c r="JW85" s="168">
        <v>79618186</v>
      </c>
      <c r="JX85" s="168">
        <v>77866092</v>
      </c>
      <c r="JY85" s="21"/>
      <c r="JZ85" s="21"/>
      <c r="KA85" s="21"/>
      <c r="KB85" s="21"/>
      <c r="KC85" s="21"/>
      <c r="KD85" s="21"/>
      <c r="KE85" s="21"/>
      <c r="KF85" s="21"/>
      <c r="KG85" s="21"/>
      <c r="KH85" s="21"/>
      <c r="KI85" s="21"/>
      <c r="KJ85" s="21"/>
      <c r="KK85" s="21"/>
      <c r="KL85" s="21"/>
      <c r="KM85" s="21"/>
      <c r="KN85" s="21"/>
      <c r="KO85" s="21"/>
      <c r="KP85" s="21"/>
      <c r="KQ85" s="168">
        <v>1525603</v>
      </c>
      <c r="KR85" s="168">
        <v>1302928</v>
      </c>
      <c r="KS85" s="21"/>
      <c r="KT85" s="21"/>
      <c r="KU85" s="21"/>
      <c r="KV85" s="21"/>
      <c r="KW85" s="21"/>
      <c r="KX85" s="21"/>
      <c r="KY85" s="168">
        <v>174707</v>
      </c>
      <c r="KZ85" s="168">
        <v>163325</v>
      </c>
      <c r="LA85" s="168">
        <v>1177605</v>
      </c>
      <c r="LB85" s="168">
        <v>1177605</v>
      </c>
      <c r="LC85" s="21"/>
      <c r="LD85" s="21"/>
      <c r="LE85" s="21"/>
      <c r="LF85" s="21"/>
      <c r="LG85" s="21"/>
      <c r="LH85" s="21"/>
      <c r="LI85" s="168">
        <v>5820250</v>
      </c>
      <c r="LJ85" s="168">
        <v>6154182</v>
      </c>
      <c r="LK85" s="168">
        <v>6773615</v>
      </c>
      <c r="LL85" s="168">
        <v>11252555</v>
      </c>
      <c r="LM85" s="21"/>
      <c r="LN85" s="21"/>
      <c r="LO85" s="21"/>
      <c r="LP85" s="21"/>
      <c r="LQ85" s="21"/>
      <c r="LR85" s="21"/>
      <c r="LS85" s="21"/>
      <c r="LT85" s="21"/>
      <c r="LU85" s="21"/>
      <c r="LV85" s="21"/>
      <c r="LW85" s="21"/>
      <c r="LX85" s="21"/>
      <c r="LY85" s="21"/>
      <c r="LZ85" s="21"/>
      <c r="MA85" s="168">
        <v>7620560</v>
      </c>
      <c r="MB85" s="168">
        <v>7514220</v>
      </c>
      <c r="MC85" s="168">
        <v>104221</v>
      </c>
      <c r="MD85" s="168">
        <v>115520</v>
      </c>
      <c r="ME85" s="21"/>
      <c r="MF85" s="21"/>
      <c r="MG85" s="21"/>
      <c r="MH85" s="21"/>
      <c r="MI85" s="168">
        <v>2494800</v>
      </c>
      <c r="MJ85" s="168">
        <v>2494800</v>
      </c>
      <c r="MK85" s="21"/>
      <c r="ML85" s="21"/>
      <c r="MM85" s="168">
        <v>111949</v>
      </c>
      <c r="MN85" s="168">
        <v>78159</v>
      </c>
      <c r="MO85" s="21"/>
      <c r="MP85" s="21"/>
      <c r="MQ85" s="21"/>
      <c r="MR85" s="21"/>
      <c r="MS85" s="21"/>
      <c r="MT85" s="21"/>
      <c r="MU85" s="21"/>
      <c r="MV85" s="21"/>
      <c r="MW85" s="21"/>
      <c r="MX85" s="21"/>
      <c r="MY85" s="21"/>
      <c r="MZ85" s="21"/>
      <c r="NA85" s="21"/>
      <c r="NB85" s="21"/>
      <c r="NC85" s="168">
        <v>30836293</v>
      </c>
      <c r="ND85" s="168">
        <v>28314716</v>
      </c>
      <c r="NE85" s="21"/>
      <c r="NF85" s="21"/>
      <c r="NG85" s="168">
        <v>36451516</v>
      </c>
      <c r="NH85" s="168">
        <v>34759270</v>
      </c>
      <c r="NI85" s="21"/>
      <c r="NJ85" s="21"/>
      <c r="NK85" s="168">
        <v>40881113</v>
      </c>
      <c r="NL85" s="168">
        <v>38971156</v>
      </c>
      <c r="NM85" s="168">
        <v>22038031</v>
      </c>
      <c r="NN85" s="168">
        <v>26512608</v>
      </c>
      <c r="NO85" s="168">
        <v>63637228</v>
      </c>
      <c r="NP85" s="168">
        <v>66259791</v>
      </c>
      <c r="NQ85" s="168" t="s">
        <v>1293</v>
      </c>
      <c r="NR85" s="168" t="s">
        <v>769</v>
      </c>
      <c r="NS85" s="168" t="s">
        <v>770</v>
      </c>
      <c r="NT85" s="168" t="s">
        <v>771</v>
      </c>
      <c r="NU85" s="168">
        <v>1708</v>
      </c>
      <c r="NV85" s="168" t="s">
        <v>2104</v>
      </c>
      <c r="NW85" s="168" t="s">
        <v>28</v>
      </c>
      <c r="NX85" s="168" t="s">
        <v>25</v>
      </c>
      <c r="NY85" s="169">
        <v>42916</v>
      </c>
      <c r="NZ85" s="169">
        <v>42551</v>
      </c>
      <c r="OA85" s="169">
        <v>43102</v>
      </c>
      <c r="OB85" s="168" t="s">
        <v>1294</v>
      </c>
      <c r="OC85" s="168">
        <v>12</v>
      </c>
      <c r="OD85" s="168" t="s">
        <v>2105</v>
      </c>
      <c r="OE85" s="168" t="s">
        <v>2120</v>
      </c>
      <c r="OF85" s="168" t="s">
        <v>2436</v>
      </c>
      <c r="OG85" s="168" t="s">
        <v>1957</v>
      </c>
      <c r="OH85" s="168" t="s">
        <v>783</v>
      </c>
      <c r="OI85" s="168" t="s">
        <v>766</v>
      </c>
      <c r="OJ85" s="168" t="s">
        <v>3240</v>
      </c>
      <c r="OK85" s="168" t="s">
        <v>767</v>
      </c>
    </row>
    <row r="86" spans="1:401" x14ac:dyDescent="0.2">
      <c r="A86" s="170" t="str">
        <f>Liste[[#This Row],[Siren]]</f>
        <v>759200934</v>
      </c>
      <c r="B86" s="198" t="str">
        <f>Liste[[#This Row],[Dénomination]]&amp;" - comptes "&amp;YEAR(Liste[[#This Row],[Date de cloture de l''exercice]])</f>
        <v>SOREAL - comptes 2017</v>
      </c>
      <c r="C86" s="21"/>
      <c r="D86" s="21"/>
      <c r="E86" s="21"/>
      <c r="F86" s="168">
        <v>1664831</v>
      </c>
      <c r="G86" s="168">
        <v>1412291</v>
      </c>
      <c r="H86" s="168">
        <v>1664831</v>
      </c>
      <c r="I86" s="168">
        <v>1026528</v>
      </c>
      <c r="J86" s="168">
        <v>268006</v>
      </c>
      <c r="K86" s="168">
        <v>366428</v>
      </c>
      <c r="L86" s="168">
        <v>1294534</v>
      </c>
      <c r="M86" s="21"/>
      <c r="N86" s="168">
        <v>23743</v>
      </c>
      <c r="O86" s="168">
        <v>82717</v>
      </c>
      <c r="P86" s="168">
        <v>23743</v>
      </c>
      <c r="Q86" s="168">
        <v>169110</v>
      </c>
      <c r="R86" s="21"/>
      <c r="S86" s="21"/>
      <c r="T86" s="168">
        <v>169110</v>
      </c>
      <c r="U86" s="168">
        <v>1360</v>
      </c>
      <c r="V86" s="168">
        <v>225521</v>
      </c>
      <c r="W86" s="168">
        <v>185520</v>
      </c>
      <c r="X86" s="168">
        <v>226881</v>
      </c>
      <c r="Y86" s="21"/>
      <c r="Z86" s="168">
        <v>15236</v>
      </c>
      <c r="AA86" s="168">
        <v>15233</v>
      </c>
      <c r="AB86" s="168">
        <v>15236</v>
      </c>
      <c r="AC86" s="21"/>
      <c r="AD86" s="168">
        <v>27123</v>
      </c>
      <c r="AE86" s="21"/>
      <c r="AF86" s="168">
        <v>27123</v>
      </c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168">
        <v>115104</v>
      </c>
      <c r="BA86" s="168">
        <v>171059</v>
      </c>
      <c r="BB86" s="168">
        <v>115104</v>
      </c>
      <c r="BC86" s="168">
        <v>191430</v>
      </c>
      <c r="BD86" s="168">
        <v>7674868</v>
      </c>
      <c r="BE86" s="168">
        <v>7918131</v>
      </c>
      <c r="BF86" s="168">
        <v>7866298</v>
      </c>
      <c r="BG86" s="168">
        <v>271954</v>
      </c>
      <c r="BH86" s="168">
        <v>111917</v>
      </c>
      <c r="BI86" s="168">
        <v>149203</v>
      </c>
      <c r="BJ86" s="168">
        <v>383871</v>
      </c>
      <c r="BK86" s="168">
        <v>9447106</v>
      </c>
      <c r="BL86" s="168">
        <v>3418214</v>
      </c>
      <c r="BM86" s="168">
        <v>3158836</v>
      </c>
      <c r="BN86" s="168">
        <v>12865320</v>
      </c>
      <c r="BO86" s="168">
        <v>3200</v>
      </c>
      <c r="BP86" s="168">
        <v>146687</v>
      </c>
      <c r="BQ86" s="168">
        <v>146439</v>
      </c>
      <c r="BR86" s="168">
        <v>149887</v>
      </c>
      <c r="BS86" s="21"/>
      <c r="BT86" s="21"/>
      <c r="BU86" s="21"/>
      <c r="BV86" s="21"/>
      <c r="BW86" s="21"/>
      <c r="BX86" s="168">
        <v>49795</v>
      </c>
      <c r="BY86" s="168">
        <v>105678</v>
      </c>
      <c r="BZ86" s="168">
        <v>49795</v>
      </c>
      <c r="CA86" s="21"/>
      <c r="CB86" s="21"/>
      <c r="CC86" s="21"/>
      <c r="CD86" s="168">
        <v>3901984</v>
      </c>
      <c r="CE86" s="168">
        <v>143500</v>
      </c>
      <c r="CF86" s="168">
        <v>168100</v>
      </c>
      <c r="CG86" s="168">
        <v>4045484</v>
      </c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168">
        <v>91456</v>
      </c>
      <c r="DD86" s="168">
        <v>38894</v>
      </c>
      <c r="DE86" s="168">
        <v>91456</v>
      </c>
      <c r="DF86" s="168">
        <v>10852764</v>
      </c>
      <c r="DG86" s="168">
        <v>3584020</v>
      </c>
      <c r="DH86" s="168">
        <v>3822416</v>
      </c>
      <c r="DI86" s="168">
        <v>14436783</v>
      </c>
      <c r="DJ86" s="21"/>
      <c r="DK86" s="168">
        <v>464286</v>
      </c>
      <c r="DL86" s="168">
        <v>375172</v>
      </c>
      <c r="DM86" s="168">
        <v>464286</v>
      </c>
      <c r="DN86" s="21"/>
      <c r="DO86" s="168">
        <v>2182426</v>
      </c>
      <c r="DP86" s="168">
        <v>1662463</v>
      </c>
      <c r="DQ86" s="168">
        <v>2182426</v>
      </c>
      <c r="DR86" s="21"/>
      <c r="DS86" s="168">
        <v>209653</v>
      </c>
      <c r="DT86" s="168">
        <v>144876</v>
      </c>
      <c r="DU86" s="168">
        <v>209653</v>
      </c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168">
        <v>26228118</v>
      </c>
      <c r="EL86" s="168">
        <v>9015961</v>
      </c>
      <c r="EM86" s="168">
        <v>10600770</v>
      </c>
      <c r="EN86" s="168">
        <v>35244080</v>
      </c>
      <c r="EO86" s="168">
        <v>191430</v>
      </c>
      <c r="EP86" s="168">
        <v>14455757</v>
      </c>
      <c r="EQ86" s="168">
        <v>13782606</v>
      </c>
      <c r="ER86" s="168">
        <v>14647187</v>
      </c>
      <c r="ES86" s="168">
        <v>26419548</v>
      </c>
      <c r="ET86" s="168">
        <v>23471718</v>
      </c>
      <c r="EU86" s="168">
        <v>24383376</v>
      </c>
      <c r="EV86" s="168">
        <v>49891266</v>
      </c>
      <c r="EW86" s="168">
        <v>554113</v>
      </c>
      <c r="EX86" s="168">
        <v>750886</v>
      </c>
      <c r="EY86" s="168">
        <v>720021</v>
      </c>
      <c r="EZ86" s="168">
        <v>1304998</v>
      </c>
      <c r="FA86" s="21"/>
      <c r="FB86" s="21"/>
      <c r="FC86" s="21"/>
      <c r="FD86" s="21"/>
      <c r="FE86" s="21"/>
      <c r="FF86" s="21"/>
      <c r="FG86" s="21"/>
      <c r="FH86" s="21"/>
      <c r="FI86" s="168">
        <v>-120685</v>
      </c>
      <c r="FJ86" s="168">
        <v>130690</v>
      </c>
      <c r="FK86" s="21"/>
      <c r="FL86" s="21"/>
      <c r="FM86" s="168">
        <v>5630</v>
      </c>
      <c r="FN86" s="168">
        <v>399</v>
      </c>
      <c r="FO86" s="168">
        <v>1740869</v>
      </c>
      <c r="FP86" s="168">
        <v>371345</v>
      </c>
      <c r="FQ86" s="21"/>
      <c r="FR86" s="21"/>
      <c r="FS86" s="21"/>
      <c r="FT86" s="21"/>
      <c r="FU86" s="21"/>
      <c r="FV86" s="21"/>
      <c r="FW86" s="21"/>
      <c r="FX86" s="168">
        <v>-528</v>
      </c>
      <c r="FY86" s="21"/>
      <c r="FZ86" s="21"/>
      <c r="GA86" s="21"/>
      <c r="GB86" s="21"/>
      <c r="GC86" s="168">
        <v>1283</v>
      </c>
      <c r="GD86" s="168">
        <v>894</v>
      </c>
      <c r="GE86" s="168">
        <v>1624532</v>
      </c>
      <c r="GF86" s="168">
        <v>412044</v>
      </c>
      <c r="GG86" s="21"/>
      <c r="GH86" s="21"/>
      <c r="GI86" s="21"/>
      <c r="GJ86" s="21"/>
      <c r="GK86" s="21"/>
      <c r="GL86" s="168">
        <v>89495</v>
      </c>
      <c r="GM86" s="168">
        <v>705939</v>
      </c>
      <c r="GN86" s="168">
        <v>7085</v>
      </c>
      <c r="GO86" s="168">
        <v>641162</v>
      </c>
      <c r="GP86" s="168">
        <v>-70982</v>
      </c>
      <c r="GQ86" s="21"/>
      <c r="GR86" s="21"/>
      <c r="GS86" s="168">
        <v>705939</v>
      </c>
      <c r="GT86" s="168">
        <v>7085</v>
      </c>
      <c r="GU86" s="168">
        <v>1746499</v>
      </c>
      <c r="GV86" s="168">
        <v>371744</v>
      </c>
      <c r="GW86" s="168">
        <v>1625815</v>
      </c>
      <c r="GX86" s="168">
        <v>502433</v>
      </c>
      <c r="GY86" s="168">
        <v>30421350</v>
      </c>
      <c r="GZ86" s="168">
        <v>29217429</v>
      </c>
      <c r="HA86" s="168">
        <v>41784173</v>
      </c>
      <c r="HB86" s="168">
        <v>42906309</v>
      </c>
      <c r="HC86" s="168">
        <v>11178214</v>
      </c>
      <c r="HD86" s="168">
        <v>9749322</v>
      </c>
      <c r="HE86" s="168">
        <v>142342</v>
      </c>
      <c r="HF86" s="168">
        <v>148408</v>
      </c>
      <c r="HG86" s="21"/>
      <c r="HH86" s="21"/>
      <c r="HI86" s="168">
        <v>20274</v>
      </c>
      <c r="HJ86" s="168">
        <v>24368</v>
      </c>
      <c r="HK86" s="21"/>
      <c r="HL86" s="21"/>
      <c r="HM86" s="21"/>
      <c r="HN86" s="21"/>
      <c r="HO86" s="168">
        <v>1415269</v>
      </c>
      <c r="HP86" s="168">
        <v>1955965</v>
      </c>
      <c r="HQ86" s="21"/>
      <c r="HR86" s="21"/>
      <c r="HS86" s="21"/>
      <c r="HT86" s="21"/>
      <c r="HU86" s="168">
        <v>1110681</v>
      </c>
      <c r="HV86" s="168">
        <v>1777533</v>
      </c>
      <c r="HW86" s="168">
        <v>70170</v>
      </c>
      <c r="HX86" s="168">
        <v>92046</v>
      </c>
      <c r="HY86" s="21"/>
      <c r="HZ86" s="168">
        <v>56063</v>
      </c>
      <c r="IA86" s="21"/>
      <c r="IB86" s="21"/>
      <c r="IC86" s="21"/>
      <c r="ID86" s="21"/>
      <c r="IE86" s="168">
        <v>628036</v>
      </c>
      <c r="IF86" s="168">
        <v>719651</v>
      </c>
      <c r="IG86" s="168">
        <v>282780</v>
      </c>
      <c r="IH86" s="168">
        <v>336795</v>
      </c>
      <c r="II86" s="21"/>
      <c r="IJ86" s="21"/>
      <c r="IK86" s="21"/>
      <c r="IL86" s="168">
        <v>61093</v>
      </c>
      <c r="IM86" s="168">
        <v>166634</v>
      </c>
      <c r="IN86" s="168">
        <v>-38360</v>
      </c>
      <c r="IO86" s="21"/>
      <c r="IP86" s="21"/>
      <c r="IQ86" s="21"/>
      <c r="IR86" s="21"/>
      <c r="IS86" s="21"/>
      <c r="IT86" s="21"/>
      <c r="IU86" s="168">
        <v>761846</v>
      </c>
      <c r="IV86" s="168">
        <v>-202200</v>
      </c>
      <c r="IW86" s="168">
        <v>1018034</v>
      </c>
      <c r="IX86" s="168">
        <v>112761</v>
      </c>
      <c r="IY86" s="168">
        <v>-256187</v>
      </c>
      <c r="IZ86" s="168">
        <v>-314961</v>
      </c>
      <c r="JA86" s="168">
        <v>364403</v>
      </c>
      <c r="JB86" s="168">
        <v>480502</v>
      </c>
      <c r="JC86" s="168">
        <v>4280</v>
      </c>
      <c r="JD86" s="168">
        <v>1766</v>
      </c>
      <c r="JE86" s="168">
        <v>3872066</v>
      </c>
      <c r="JF86" s="168">
        <v>5234819</v>
      </c>
      <c r="JG86" s="21"/>
      <c r="JH86" s="21"/>
      <c r="JI86" s="168">
        <v>90013223</v>
      </c>
      <c r="JJ86" s="168">
        <v>91869252</v>
      </c>
      <c r="JK86" s="168">
        <v>282780</v>
      </c>
      <c r="JL86" s="168">
        <v>336795</v>
      </c>
      <c r="JM86" s="168">
        <v>91031257</v>
      </c>
      <c r="JN86" s="168">
        <v>91982013</v>
      </c>
      <c r="JO86" s="168">
        <v>26592</v>
      </c>
      <c r="JP86" s="168">
        <v>21834</v>
      </c>
      <c r="JQ86" s="168">
        <v>-89114</v>
      </c>
      <c r="JR86" s="168">
        <v>-6162</v>
      </c>
      <c r="JS86" s="168">
        <v>-519963</v>
      </c>
      <c r="JT86" s="168">
        <v>17869</v>
      </c>
      <c r="JU86" s="21"/>
      <c r="JV86" s="168">
        <v>90544723</v>
      </c>
      <c r="JW86" s="168">
        <v>90479946</v>
      </c>
      <c r="JX86" s="168">
        <v>91454410</v>
      </c>
      <c r="JY86" s="21"/>
      <c r="JZ86" s="168">
        <v>58522348</v>
      </c>
      <c r="KA86" s="168">
        <v>58457571</v>
      </c>
      <c r="KB86" s="168">
        <v>59953266</v>
      </c>
      <c r="KC86" s="21"/>
      <c r="KD86" s="168">
        <v>745231</v>
      </c>
      <c r="KE86" s="168">
        <v>745231</v>
      </c>
      <c r="KF86" s="168">
        <v>1938361</v>
      </c>
      <c r="KG86" s="21"/>
      <c r="KH86" s="168">
        <v>31277144</v>
      </c>
      <c r="KI86" s="168">
        <v>31277144</v>
      </c>
      <c r="KJ86" s="168">
        <v>29562783</v>
      </c>
      <c r="KK86" s="21"/>
      <c r="KL86" s="21"/>
      <c r="KM86" s="21"/>
      <c r="KN86" s="21"/>
      <c r="KO86" s="21"/>
      <c r="KP86" s="21"/>
      <c r="KQ86" s="168">
        <v>100943</v>
      </c>
      <c r="KR86" s="168">
        <v>98672</v>
      </c>
      <c r="KS86" s="21"/>
      <c r="KT86" s="21"/>
      <c r="KU86" s="21"/>
      <c r="KV86" s="21"/>
      <c r="KW86" s="21"/>
      <c r="KX86" s="21"/>
      <c r="KY86" s="21"/>
      <c r="KZ86" s="21"/>
      <c r="LA86" s="168">
        <v>4620750</v>
      </c>
      <c r="LB86" s="168">
        <v>4620750</v>
      </c>
      <c r="LC86" s="21"/>
      <c r="LD86" s="21"/>
      <c r="LE86" s="21"/>
      <c r="LF86" s="21"/>
      <c r="LG86" s="21"/>
      <c r="LH86" s="21"/>
      <c r="LI86" s="168">
        <v>1400377</v>
      </c>
      <c r="LJ86" s="168">
        <v>1886881</v>
      </c>
      <c r="LK86" s="168">
        <v>6719595</v>
      </c>
      <c r="LL86" s="168">
        <v>6681641</v>
      </c>
      <c r="LM86" s="168">
        <v>360254</v>
      </c>
      <c r="LN86" s="168">
        <v>364641</v>
      </c>
      <c r="LO86" s="21"/>
      <c r="LP86" s="21"/>
      <c r="LQ86" s="21"/>
      <c r="LR86" s="21"/>
      <c r="LS86" s="21"/>
      <c r="LT86" s="21"/>
      <c r="LU86" s="21"/>
      <c r="LV86" s="21"/>
      <c r="LW86" s="21"/>
      <c r="LX86" s="21"/>
      <c r="LY86" s="21"/>
      <c r="LZ86" s="21"/>
      <c r="MA86" s="168">
        <v>9275987</v>
      </c>
      <c r="MB86" s="168">
        <v>8849850</v>
      </c>
      <c r="MC86" s="168">
        <v>3647889</v>
      </c>
      <c r="MD86" s="168">
        <v>3654409</v>
      </c>
      <c r="ME86" s="21"/>
      <c r="MF86" s="21"/>
      <c r="MG86" s="21"/>
      <c r="MH86" s="21"/>
      <c r="MI86" s="168">
        <v>1633779</v>
      </c>
      <c r="MJ86" s="168">
        <v>1633779</v>
      </c>
      <c r="MK86" s="21"/>
      <c r="ML86" s="21"/>
      <c r="MM86" s="168">
        <v>192474</v>
      </c>
      <c r="MN86" s="168">
        <v>115416</v>
      </c>
      <c r="MO86" s="21"/>
      <c r="MP86" s="21"/>
      <c r="MQ86" s="21"/>
      <c r="MR86" s="21"/>
      <c r="MS86" s="21"/>
      <c r="MT86" s="21"/>
      <c r="MU86" s="21"/>
      <c r="MV86" s="21"/>
      <c r="MW86" s="21"/>
      <c r="MX86" s="21"/>
      <c r="MY86" s="21"/>
      <c r="MZ86" s="21"/>
      <c r="NA86" s="21"/>
      <c r="NB86" s="21"/>
      <c r="NC86" s="168">
        <v>705939</v>
      </c>
      <c r="ND86" s="168">
        <v>7085</v>
      </c>
      <c r="NE86" s="21"/>
      <c r="NF86" s="21"/>
      <c r="NG86" s="168">
        <v>953660</v>
      </c>
      <c r="NH86" s="168">
        <v>247722</v>
      </c>
      <c r="NI86" s="21"/>
      <c r="NJ86" s="21"/>
      <c r="NK86" s="21"/>
      <c r="NL86" s="21"/>
      <c r="NM86" s="168">
        <v>21697519</v>
      </c>
      <c r="NN86" s="168">
        <v>23311019</v>
      </c>
      <c r="NO86" s="168">
        <v>23471718</v>
      </c>
      <c r="NP86" s="168">
        <v>24383376</v>
      </c>
      <c r="NQ86" s="168" t="s">
        <v>1019</v>
      </c>
      <c r="NR86" s="168" t="s">
        <v>769</v>
      </c>
      <c r="NS86" s="168" t="s">
        <v>770</v>
      </c>
      <c r="NT86" s="168" t="s">
        <v>771</v>
      </c>
      <c r="NU86" s="168">
        <v>101</v>
      </c>
      <c r="NV86" s="168" t="s">
        <v>2104</v>
      </c>
      <c r="NW86" s="168" t="s">
        <v>28</v>
      </c>
      <c r="NX86" s="168" t="s">
        <v>25</v>
      </c>
      <c r="NY86" s="169">
        <v>42916</v>
      </c>
      <c r="NZ86" s="169">
        <v>42551</v>
      </c>
      <c r="OA86" s="169">
        <v>43124</v>
      </c>
      <c r="OB86" s="168" t="s">
        <v>1020</v>
      </c>
      <c r="OC86" s="168">
        <v>12</v>
      </c>
      <c r="OD86" s="168" t="s">
        <v>2106</v>
      </c>
      <c r="OE86" s="168" t="s">
        <v>2325</v>
      </c>
      <c r="OF86" s="168" t="s">
        <v>2223</v>
      </c>
      <c r="OG86" s="168" t="s">
        <v>1849</v>
      </c>
      <c r="OH86" s="168" t="s">
        <v>911</v>
      </c>
      <c r="OI86" s="168" t="s">
        <v>766</v>
      </c>
      <c r="OJ86" s="168" t="s">
        <v>3240</v>
      </c>
      <c r="OK86" s="168" t="s">
        <v>767</v>
      </c>
    </row>
    <row r="87" spans="1:401" x14ac:dyDescent="0.2">
      <c r="A87" s="170" t="str">
        <f>Liste[[#This Row],[Siren]]</f>
        <v>775614837</v>
      </c>
      <c r="B87" s="198" t="str">
        <f>Liste[[#This Row],[Dénomination]]&amp;" - comptes "&amp;YEAR(Liste[[#This Row],[Date de cloture de l''exercice]])</f>
        <v>COOPERATIVE AGRICOLE LORRAINE - comptes 2017</v>
      </c>
      <c r="C87" s="21"/>
      <c r="D87" s="21"/>
      <c r="E87" s="168">
        <v>3000</v>
      </c>
      <c r="F87" s="168">
        <v>6017000</v>
      </c>
      <c r="G87" s="168">
        <v>5822000</v>
      </c>
      <c r="H87" s="168">
        <v>6020000</v>
      </c>
      <c r="I87" s="21"/>
      <c r="J87" s="21"/>
      <c r="K87" s="21"/>
      <c r="L87" s="21"/>
      <c r="M87" s="168">
        <v>377000</v>
      </c>
      <c r="N87" s="168">
        <v>4055000</v>
      </c>
      <c r="O87" s="168">
        <v>4104000</v>
      </c>
      <c r="P87" s="168">
        <v>4432000</v>
      </c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168">
        <v>6131000</v>
      </c>
      <c r="BY87" s="168">
        <v>1624000</v>
      </c>
      <c r="BZ87" s="168">
        <v>6131000</v>
      </c>
      <c r="CA87" s="21"/>
      <c r="CB87" s="21"/>
      <c r="CC87" s="21"/>
      <c r="CD87" s="168">
        <v>1272000</v>
      </c>
      <c r="CE87" s="21"/>
      <c r="CF87" s="168">
        <v>106000</v>
      </c>
      <c r="CG87" s="168">
        <v>1272000</v>
      </c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168">
        <v>113336000</v>
      </c>
      <c r="EL87" s="168">
        <v>64540000</v>
      </c>
      <c r="EM87" s="168">
        <v>67344000</v>
      </c>
      <c r="EN87" s="168">
        <v>177876000</v>
      </c>
      <c r="EO87" s="168">
        <v>7604000</v>
      </c>
      <c r="EP87" s="168">
        <v>96012000</v>
      </c>
      <c r="EQ87" s="168">
        <v>94304000</v>
      </c>
      <c r="ER87" s="168">
        <v>103616000</v>
      </c>
      <c r="ES87" s="168">
        <v>120940000</v>
      </c>
      <c r="ET87" s="168">
        <v>160552000</v>
      </c>
      <c r="EU87" s="168">
        <v>161649000</v>
      </c>
      <c r="EV87" s="168">
        <v>281492000</v>
      </c>
      <c r="EW87" s="21"/>
      <c r="EX87" s="21"/>
      <c r="EY87" s="21"/>
      <c r="EZ87" s="21"/>
      <c r="FA87" s="21"/>
      <c r="FB87" s="21"/>
      <c r="FC87" s="21"/>
      <c r="FD87" s="21"/>
      <c r="FE87" s="21"/>
      <c r="FF87" s="168">
        <v>2350000</v>
      </c>
      <c r="FG87" s="168">
        <v>2850000</v>
      </c>
      <c r="FH87" s="168">
        <v>2350000</v>
      </c>
      <c r="FI87" s="168">
        <v>324000</v>
      </c>
      <c r="FJ87" s="168">
        <v>-49000</v>
      </c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168">
        <v>2000</v>
      </c>
      <c r="FV87" s="168">
        <v>11000</v>
      </c>
      <c r="FW87" s="168">
        <v>93000</v>
      </c>
      <c r="FX87" s="168">
        <v>158000</v>
      </c>
      <c r="FY87" s="168">
        <v>330000</v>
      </c>
      <c r="FZ87" s="168">
        <v>386000</v>
      </c>
      <c r="GA87" s="21"/>
      <c r="GB87" s="21"/>
      <c r="GC87" s="21"/>
      <c r="GD87" s="21"/>
      <c r="GE87" s="21"/>
      <c r="GF87" s="21"/>
      <c r="GG87" s="21"/>
      <c r="GH87" s="21"/>
      <c r="GI87" s="21"/>
      <c r="GJ87" s="21"/>
      <c r="GK87" s="21"/>
      <c r="GL87" s="21"/>
      <c r="GM87" s="168">
        <v>2044000</v>
      </c>
      <c r="GN87" s="168">
        <v>3165000</v>
      </c>
      <c r="GO87" s="168">
        <v>2064000</v>
      </c>
      <c r="GP87" s="168">
        <v>2926000</v>
      </c>
      <c r="GQ87" s="21"/>
      <c r="GR87" s="21"/>
      <c r="GS87" s="168">
        <v>1714000</v>
      </c>
      <c r="GT87" s="168">
        <v>2779000</v>
      </c>
      <c r="GU87" s="21"/>
      <c r="GV87" s="21"/>
      <c r="GW87" s="21"/>
      <c r="GX87" s="21"/>
      <c r="GY87" s="21"/>
      <c r="GZ87" s="21"/>
      <c r="HA87" s="21"/>
      <c r="HB87" s="21"/>
      <c r="HC87" s="21"/>
      <c r="HD87" s="21"/>
      <c r="HE87" s="21"/>
      <c r="HF87" s="21"/>
      <c r="HG87" s="21"/>
      <c r="HH87" s="21"/>
      <c r="HI87" s="168">
        <v>3202000</v>
      </c>
      <c r="HJ87" s="168">
        <v>2971000</v>
      </c>
      <c r="HK87" s="21"/>
      <c r="HL87" s="21"/>
      <c r="HM87" s="21"/>
      <c r="HN87" s="21"/>
      <c r="HO87" s="21"/>
      <c r="HP87" s="21"/>
      <c r="HQ87" s="21"/>
      <c r="HR87" s="21"/>
      <c r="HS87" s="21"/>
      <c r="HT87" s="21"/>
      <c r="HU87" s="21"/>
      <c r="HV87" s="21"/>
      <c r="HW87" s="21"/>
      <c r="HX87" s="21"/>
      <c r="HY87" s="21"/>
      <c r="HZ87" s="21"/>
      <c r="IA87" s="21"/>
      <c r="IB87" s="21"/>
      <c r="IC87" s="21"/>
      <c r="ID87" s="21"/>
      <c r="IE87" s="168">
        <v>2199000</v>
      </c>
      <c r="IF87" s="168">
        <v>2391000</v>
      </c>
      <c r="IG87" s="21"/>
      <c r="IH87" s="21"/>
      <c r="II87" s="21"/>
      <c r="IJ87" s="21"/>
      <c r="IK87" s="21"/>
      <c r="IL87" s="21"/>
      <c r="IM87" s="21"/>
      <c r="IN87" s="21"/>
      <c r="IO87" s="21"/>
      <c r="IP87" s="21"/>
      <c r="IQ87" s="21"/>
      <c r="IR87" s="21"/>
      <c r="IS87" s="21"/>
      <c r="IT87" s="21"/>
      <c r="IU87" s="168">
        <v>1835000</v>
      </c>
      <c r="IV87" s="168">
        <v>3144000</v>
      </c>
      <c r="IW87" s="168">
        <v>1612000</v>
      </c>
      <c r="IX87" s="168">
        <v>2713000</v>
      </c>
      <c r="IY87" s="168">
        <v>236000</v>
      </c>
      <c r="IZ87" s="168">
        <v>471000</v>
      </c>
      <c r="JA87" s="21"/>
      <c r="JB87" s="21"/>
      <c r="JC87" s="21"/>
      <c r="JD87" s="21"/>
      <c r="JE87" s="21"/>
      <c r="JF87" s="21"/>
      <c r="JG87" s="21"/>
      <c r="JH87" s="21"/>
      <c r="JI87" s="168">
        <v>220949000</v>
      </c>
      <c r="JJ87" s="168">
        <v>275506000</v>
      </c>
      <c r="JK87" s="168">
        <v>563000</v>
      </c>
      <c r="JL87" s="168">
        <v>330000</v>
      </c>
      <c r="JM87" s="168">
        <v>222561000</v>
      </c>
      <c r="JN87" s="168">
        <v>278219000</v>
      </c>
      <c r="JO87" s="168">
        <v>799000</v>
      </c>
      <c r="JP87" s="168">
        <v>801000</v>
      </c>
      <c r="JQ87" s="21"/>
      <c r="JR87" s="21"/>
      <c r="JS87" s="168">
        <v>181040000</v>
      </c>
      <c r="JT87" s="168">
        <v>232036000</v>
      </c>
      <c r="JU87" s="21"/>
      <c r="JV87" s="21"/>
      <c r="JW87" s="168">
        <v>219359000</v>
      </c>
      <c r="JX87" s="168">
        <v>275248000</v>
      </c>
      <c r="JY87" s="21"/>
      <c r="JZ87" s="21"/>
      <c r="KA87" s="21"/>
      <c r="KB87" s="21"/>
      <c r="KC87" s="21"/>
      <c r="KD87" s="21"/>
      <c r="KE87" s="21"/>
      <c r="KF87" s="21"/>
      <c r="KG87" s="21"/>
      <c r="KH87" s="21"/>
      <c r="KI87" s="21"/>
      <c r="KJ87" s="21"/>
      <c r="KK87" s="21"/>
      <c r="KL87" s="21"/>
      <c r="KM87" s="21"/>
      <c r="KN87" s="21"/>
      <c r="KO87" s="21"/>
      <c r="KP87" s="21"/>
      <c r="KQ87" s="21"/>
      <c r="KR87" s="21"/>
      <c r="KS87" s="21"/>
      <c r="KT87" s="21"/>
      <c r="KU87" s="21"/>
      <c r="KV87" s="21"/>
      <c r="KW87" s="21"/>
      <c r="KX87" s="21"/>
      <c r="KY87" s="21"/>
      <c r="KZ87" s="21"/>
      <c r="LA87" s="168">
        <v>11687000</v>
      </c>
      <c r="LB87" s="168">
        <v>11724000</v>
      </c>
      <c r="LC87" s="21"/>
      <c r="LD87" s="21"/>
      <c r="LE87" s="21"/>
      <c r="LF87" s="21"/>
      <c r="LG87" s="21"/>
      <c r="LH87" s="21"/>
      <c r="LI87" s="21"/>
      <c r="LJ87" s="21"/>
      <c r="LK87" s="21"/>
      <c r="LL87" s="21"/>
      <c r="LM87" s="21"/>
      <c r="LN87" s="21"/>
      <c r="LO87" s="21"/>
      <c r="LP87" s="21"/>
      <c r="LQ87" s="21"/>
      <c r="LR87" s="21"/>
      <c r="LS87" s="21"/>
      <c r="LT87" s="21"/>
      <c r="LU87" s="21"/>
      <c r="LV87" s="21"/>
      <c r="LW87" s="21"/>
      <c r="LX87" s="21"/>
      <c r="LY87" s="21"/>
      <c r="LZ87" s="21"/>
      <c r="MA87" s="21"/>
      <c r="MB87" s="21"/>
      <c r="MC87" s="168">
        <v>18791000</v>
      </c>
      <c r="MD87" s="168">
        <v>22592000</v>
      </c>
      <c r="ME87" s="21"/>
      <c r="MF87" s="21"/>
      <c r="MG87" s="21"/>
      <c r="MH87" s="21"/>
      <c r="MI87" s="21"/>
      <c r="MJ87" s="21"/>
      <c r="MK87" s="21"/>
      <c r="ML87" s="21"/>
      <c r="MM87" s="21"/>
      <c r="MN87" s="21"/>
      <c r="MO87" s="21"/>
      <c r="MP87" s="21"/>
      <c r="MQ87" s="21"/>
      <c r="MR87" s="21"/>
      <c r="MS87" s="21"/>
      <c r="MT87" s="21"/>
      <c r="MU87" s="21"/>
      <c r="MV87" s="21"/>
      <c r="MW87" s="21"/>
      <c r="MX87" s="21"/>
      <c r="MY87" s="21"/>
      <c r="MZ87" s="21"/>
      <c r="NA87" s="21"/>
      <c r="NB87" s="21"/>
      <c r="NC87" s="168">
        <v>1714000</v>
      </c>
      <c r="ND87" s="168">
        <v>2779000</v>
      </c>
      <c r="NE87" s="21"/>
      <c r="NF87" s="21"/>
      <c r="NG87" s="168">
        <v>99057000</v>
      </c>
      <c r="NH87" s="168">
        <v>98327000</v>
      </c>
      <c r="NI87" s="21"/>
      <c r="NJ87" s="21"/>
      <c r="NK87" s="168">
        <v>6963000</v>
      </c>
      <c r="NL87" s="168">
        <v>7089000</v>
      </c>
      <c r="NM87" s="21"/>
      <c r="NN87" s="21"/>
      <c r="NO87" s="168">
        <v>160552000</v>
      </c>
      <c r="NP87" s="168">
        <v>161649000</v>
      </c>
      <c r="NQ87" s="168" t="s">
        <v>3444</v>
      </c>
      <c r="NR87" s="168" t="s">
        <v>887</v>
      </c>
      <c r="NS87" s="168" t="s">
        <v>770</v>
      </c>
      <c r="NT87" s="168" t="s">
        <v>771</v>
      </c>
      <c r="NU87" s="168">
        <v>5402</v>
      </c>
      <c r="NV87" s="168" t="s">
        <v>2104</v>
      </c>
      <c r="NW87" s="168" t="s">
        <v>28</v>
      </c>
      <c r="NX87" s="168" t="s">
        <v>25</v>
      </c>
      <c r="NY87" s="169">
        <v>42916</v>
      </c>
      <c r="NZ87" s="169">
        <v>42551</v>
      </c>
      <c r="OA87" s="169">
        <v>43119</v>
      </c>
      <c r="OB87" s="168" t="s">
        <v>3445</v>
      </c>
      <c r="OC87" s="168">
        <v>12</v>
      </c>
      <c r="OD87" s="168" t="s">
        <v>2105</v>
      </c>
      <c r="OE87" s="168" t="s">
        <v>2239</v>
      </c>
      <c r="OF87" s="168" t="s">
        <v>3446</v>
      </c>
      <c r="OG87" s="168" t="s">
        <v>3447</v>
      </c>
      <c r="OH87" s="168" t="s">
        <v>977</v>
      </c>
      <c r="OI87" s="168" t="s">
        <v>766</v>
      </c>
      <c r="OJ87" s="168" t="s">
        <v>3240</v>
      </c>
      <c r="OK87" s="168" t="s">
        <v>885</v>
      </c>
    </row>
    <row r="88" spans="1:401" x14ac:dyDescent="0.2">
      <c r="A88" s="170" t="str">
        <f>Liste[[#This Row],[Siren]]</f>
        <v>781362256</v>
      </c>
      <c r="B88" s="198" t="str">
        <f>Liste[[#This Row],[Dénomination]]&amp;" - comptes "&amp;YEAR(Liste[[#This Row],[Date de cloture de l''exercice]])</f>
        <v>SOCIETE COOPERATIVE AGRICOLE TERRE ATLANTIQUE - comptes 2017</v>
      </c>
      <c r="C88" s="21"/>
      <c r="D88" s="21"/>
      <c r="E88" s="21"/>
      <c r="F88" s="168">
        <v>13418334</v>
      </c>
      <c r="G88" s="168">
        <v>15424047</v>
      </c>
      <c r="H88" s="21"/>
      <c r="I88" s="21"/>
      <c r="J88" s="168">
        <v>409943</v>
      </c>
      <c r="K88" s="168">
        <v>429692</v>
      </c>
      <c r="L88" s="21"/>
      <c r="M88" s="21"/>
      <c r="N88" s="21"/>
      <c r="O88" s="21"/>
      <c r="P88" s="21"/>
      <c r="Q88" s="21"/>
      <c r="R88" s="168">
        <v>20000</v>
      </c>
      <c r="S88" s="21"/>
      <c r="T88" s="21"/>
      <c r="U88" s="21"/>
      <c r="V88" s="21"/>
      <c r="W88" s="21"/>
      <c r="X88" s="21"/>
      <c r="Y88" s="21"/>
      <c r="Z88" s="168">
        <v>31563</v>
      </c>
      <c r="AA88" s="168">
        <v>31282</v>
      </c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168">
        <v>8087</v>
      </c>
      <c r="AM88" s="168">
        <v>14034</v>
      </c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168">
        <v>804179</v>
      </c>
      <c r="BA88" s="168">
        <v>912296</v>
      </c>
      <c r="BB88" s="21"/>
      <c r="BC88" s="21"/>
      <c r="BD88" s="168">
        <v>7149239</v>
      </c>
      <c r="BE88" s="168">
        <v>7551097</v>
      </c>
      <c r="BF88" s="21"/>
      <c r="BG88" s="21"/>
      <c r="BH88" s="168">
        <v>89195</v>
      </c>
      <c r="BI88" s="168">
        <v>33919</v>
      </c>
      <c r="BJ88" s="21"/>
      <c r="BK88" s="21"/>
      <c r="BL88" s="168">
        <v>11914867</v>
      </c>
      <c r="BM88" s="168">
        <v>11319402</v>
      </c>
      <c r="BN88" s="21"/>
      <c r="BO88" s="21"/>
      <c r="BP88" s="168">
        <v>238575</v>
      </c>
      <c r="BQ88" s="168">
        <v>228577</v>
      </c>
      <c r="BR88" s="21"/>
      <c r="BS88" s="21"/>
      <c r="BT88" s="21"/>
      <c r="BU88" s="21"/>
      <c r="BV88" s="21"/>
      <c r="BW88" s="21"/>
      <c r="BX88" s="168">
        <v>5559626</v>
      </c>
      <c r="BY88" s="168">
        <v>960988</v>
      </c>
      <c r="BZ88" s="21"/>
      <c r="CA88" s="168">
        <v>1</v>
      </c>
      <c r="CB88" s="168">
        <v>4</v>
      </c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168">
        <v>1764055</v>
      </c>
      <c r="DD88" s="168">
        <v>2440014</v>
      </c>
      <c r="DE88" s="21"/>
      <c r="DF88" s="21"/>
      <c r="DG88" s="168">
        <v>6546350</v>
      </c>
      <c r="DH88" s="168">
        <v>7425579</v>
      </c>
      <c r="DI88" s="21"/>
      <c r="DJ88" s="21"/>
      <c r="DK88" s="168">
        <v>7404789</v>
      </c>
      <c r="DL88" s="168">
        <v>8544450</v>
      </c>
      <c r="DM88" s="21"/>
      <c r="DN88" s="21"/>
      <c r="DO88" s="168">
        <v>410818</v>
      </c>
      <c r="DP88" s="168">
        <v>385258</v>
      </c>
      <c r="DQ88" s="21"/>
      <c r="DR88" s="21"/>
      <c r="DS88" s="168">
        <v>991459</v>
      </c>
      <c r="DT88" s="168">
        <v>961935</v>
      </c>
      <c r="DU88" s="21"/>
      <c r="DV88" s="21"/>
      <c r="DW88" s="21"/>
      <c r="DX88" s="21"/>
      <c r="DY88" s="21"/>
      <c r="DZ88" s="21"/>
      <c r="EA88" s="21"/>
      <c r="EB88" s="21"/>
      <c r="EC88" s="21"/>
      <c r="ED88" s="168">
        <v>36152</v>
      </c>
      <c r="EE88" s="168">
        <v>43090</v>
      </c>
      <c r="EF88" s="21"/>
      <c r="EG88" s="21"/>
      <c r="EH88" s="21"/>
      <c r="EI88" s="21"/>
      <c r="EJ88" s="21"/>
      <c r="EK88" s="21"/>
      <c r="EL88" s="168">
        <v>24559478</v>
      </c>
      <c r="EM88" s="168">
        <v>25345758</v>
      </c>
      <c r="EN88" s="21"/>
      <c r="EO88" s="21"/>
      <c r="EP88" s="168">
        <v>35879224</v>
      </c>
      <c r="EQ88" s="168">
        <v>36003260</v>
      </c>
      <c r="ER88" s="21"/>
      <c r="ES88" s="21"/>
      <c r="ET88" s="168">
        <v>60438703</v>
      </c>
      <c r="EU88" s="168">
        <v>61349022</v>
      </c>
      <c r="EV88" s="21"/>
      <c r="EW88" s="21"/>
      <c r="EX88" s="168">
        <v>2553471</v>
      </c>
      <c r="EY88" s="168">
        <v>2475358</v>
      </c>
      <c r="EZ88" s="21"/>
      <c r="FA88" s="21"/>
      <c r="FB88" s="21"/>
      <c r="FC88" s="21"/>
      <c r="FD88" s="21"/>
      <c r="FE88" s="21"/>
      <c r="FF88" s="168">
        <v>1088000</v>
      </c>
      <c r="FG88" s="168">
        <v>2168000</v>
      </c>
      <c r="FH88" s="21"/>
      <c r="FI88" s="168">
        <v>63960</v>
      </c>
      <c r="FJ88" s="168">
        <v>-318365</v>
      </c>
      <c r="FK88" s="21"/>
      <c r="FL88" s="21"/>
      <c r="FM88" s="168">
        <v>98096</v>
      </c>
      <c r="FN88" s="168">
        <v>338111</v>
      </c>
      <c r="FO88" s="168">
        <v>2153500</v>
      </c>
      <c r="FP88" s="168">
        <v>484459</v>
      </c>
      <c r="FQ88" s="21"/>
      <c r="FR88" s="21"/>
      <c r="FS88" s="168">
        <v>8775</v>
      </c>
      <c r="FT88" s="168">
        <v>735000</v>
      </c>
      <c r="FU88" s="21"/>
      <c r="FV88" s="21"/>
      <c r="FW88" s="21"/>
      <c r="FX88" s="21"/>
      <c r="FY88" s="21"/>
      <c r="FZ88" s="21"/>
      <c r="GA88" s="21"/>
      <c r="GB88" s="21"/>
      <c r="GC88" s="168">
        <v>54302</v>
      </c>
      <c r="GD88" s="168">
        <v>388907</v>
      </c>
      <c r="GE88" s="168">
        <v>2117249</v>
      </c>
      <c r="GF88" s="168">
        <v>627943</v>
      </c>
      <c r="GG88" s="21"/>
      <c r="GH88" s="21"/>
      <c r="GI88" s="21"/>
      <c r="GJ88" s="21"/>
      <c r="GK88" s="168">
        <v>152780</v>
      </c>
      <c r="GL88" s="168">
        <v>222355</v>
      </c>
      <c r="GM88" s="168">
        <v>694358</v>
      </c>
      <c r="GN88" s="168">
        <v>1214126</v>
      </c>
      <c r="GO88" s="168">
        <v>694358</v>
      </c>
      <c r="GP88" s="168">
        <v>1214126</v>
      </c>
      <c r="GQ88" s="21"/>
      <c r="GR88" s="21"/>
      <c r="GS88" s="168">
        <v>694358</v>
      </c>
      <c r="GT88" s="168">
        <v>1214126</v>
      </c>
      <c r="GU88" s="168">
        <v>2260371</v>
      </c>
      <c r="GV88" s="168">
        <v>1557570</v>
      </c>
      <c r="GW88" s="168">
        <v>2324331</v>
      </c>
      <c r="GX88" s="168">
        <v>1239205</v>
      </c>
      <c r="GY88" s="168">
        <v>99270982</v>
      </c>
      <c r="GZ88" s="168">
        <v>111040669</v>
      </c>
      <c r="HA88" s="168">
        <v>1114291</v>
      </c>
      <c r="HB88" s="168">
        <v>1387458</v>
      </c>
      <c r="HC88" s="168">
        <v>10419380</v>
      </c>
      <c r="HD88" s="168">
        <v>10533909</v>
      </c>
      <c r="HE88" s="168">
        <v>687144</v>
      </c>
      <c r="HF88" s="168">
        <v>811757</v>
      </c>
      <c r="HG88" s="168">
        <v>379670</v>
      </c>
      <c r="HH88" s="168">
        <v>462722</v>
      </c>
      <c r="HI88" s="168">
        <v>51963</v>
      </c>
      <c r="HJ88" s="168">
        <v>244489</v>
      </c>
      <c r="HK88" s="21"/>
      <c r="HL88" s="21"/>
      <c r="HM88" s="21"/>
      <c r="HN88" s="21"/>
      <c r="HO88" s="168">
        <v>2290863</v>
      </c>
      <c r="HP88" s="168">
        <v>2296737</v>
      </c>
      <c r="HQ88" s="21"/>
      <c r="HR88" s="21"/>
      <c r="HS88" s="21"/>
      <c r="HT88" s="21"/>
      <c r="HU88" s="168">
        <v>3581959</v>
      </c>
      <c r="HV88" s="168">
        <v>3641274</v>
      </c>
      <c r="HW88" s="21"/>
      <c r="HX88" s="21"/>
      <c r="HY88" s="168">
        <v>67811</v>
      </c>
      <c r="HZ88" s="168">
        <v>74766</v>
      </c>
      <c r="IA88" s="168">
        <v>547530</v>
      </c>
      <c r="IB88" s="168">
        <v>633037</v>
      </c>
      <c r="IC88" s="21"/>
      <c r="ID88" s="21"/>
      <c r="IE88" s="168">
        <v>572183</v>
      </c>
      <c r="IF88" s="168">
        <v>658947</v>
      </c>
      <c r="IG88" s="168">
        <v>385957</v>
      </c>
      <c r="IH88" s="168">
        <v>407337</v>
      </c>
      <c r="II88" s="21"/>
      <c r="IJ88" s="21"/>
      <c r="IK88" s="21"/>
      <c r="IL88" s="21"/>
      <c r="IM88" s="21"/>
      <c r="IN88" s="21"/>
      <c r="IO88" s="21"/>
      <c r="IP88" s="21"/>
      <c r="IQ88" s="168">
        <v>27049</v>
      </c>
      <c r="IR88" s="168">
        <v>20474</v>
      </c>
      <c r="IS88" s="21"/>
      <c r="IT88" s="21"/>
      <c r="IU88" s="168">
        <v>630398</v>
      </c>
      <c r="IV88" s="168">
        <v>1532491</v>
      </c>
      <c r="IW88" s="168">
        <v>558221</v>
      </c>
      <c r="IX88" s="168">
        <v>1456631</v>
      </c>
      <c r="IY88" s="168">
        <v>72177</v>
      </c>
      <c r="IZ88" s="168">
        <v>75860</v>
      </c>
      <c r="JA88" s="168">
        <v>2825660</v>
      </c>
      <c r="JB88" s="168">
        <v>3308318</v>
      </c>
      <c r="JC88" s="168">
        <v>51414</v>
      </c>
      <c r="JD88" s="21"/>
      <c r="JE88" s="168">
        <v>5122610</v>
      </c>
      <c r="JF88" s="168">
        <v>5083195</v>
      </c>
      <c r="JG88" s="168">
        <v>42945</v>
      </c>
      <c r="JH88" s="168">
        <v>39845</v>
      </c>
      <c r="JI88" s="168">
        <v>124883492</v>
      </c>
      <c r="JJ88" s="168">
        <v>135328090</v>
      </c>
      <c r="JK88" s="168">
        <v>385957</v>
      </c>
      <c r="JL88" s="168">
        <v>407338</v>
      </c>
      <c r="JM88" s="168">
        <v>125441713</v>
      </c>
      <c r="JN88" s="168">
        <v>136784721</v>
      </c>
      <c r="JO88" s="168">
        <v>458134</v>
      </c>
      <c r="JP88" s="168">
        <v>483198</v>
      </c>
      <c r="JQ88" s="168">
        <v>1208739</v>
      </c>
      <c r="JR88" s="168">
        <v>-833659</v>
      </c>
      <c r="JS88" s="21"/>
      <c r="JT88" s="21"/>
      <c r="JU88" s="168">
        <v>32105525</v>
      </c>
      <c r="JV88" s="168">
        <v>90415620</v>
      </c>
      <c r="JW88" s="168">
        <v>122521145</v>
      </c>
      <c r="JX88" s="168">
        <v>133192069</v>
      </c>
      <c r="JY88" s="168">
        <v>966632</v>
      </c>
      <c r="JZ88" s="168">
        <v>63562</v>
      </c>
      <c r="KA88" s="168">
        <v>1030194</v>
      </c>
      <c r="KB88" s="168">
        <v>864264</v>
      </c>
      <c r="KC88" s="168">
        <v>29884</v>
      </c>
      <c r="KD88" s="168">
        <v>580341</v>
      </c>
      <c r="KE88" s="168">
        <v>610225</v>
      </c>
      <c r="KF88" s="168">
        <v>741758</v>
      </c>
      <c r="KG88" s="168">
        <v>31109009</v>
      </c>
      <c r="KH88" s="168">
        <v>89771717</v>
      </c>
      <c r="KI88" s="168">
        <v>120880726</v>
      </c>
      <c r="KJ88" s="168">
        <v>131586047</v>
      </c>
      <c r="KK88" s="168">
        <v>2</v>
      </c>
      <c r="KL88" s="21"/>
      <c r="KM88" s="21"/>
      <c r="KN88" s="21"/>
      <c r="KO88" s="21"/>
      <c r="KP88" s="21"/>
      <c r="KQ88" s="21"/>
      <c r="KR88" s="21"/>
      <c r="KS88" s="21"/>
      <c r="KT88" s="21"/>
      <c r="KU88" s="168">
        <v>12087136</v>
      </c>
      <c r="KV88" s="168">
        <v>11907728</v>
      </c>
      <c r="KW88" s="21"/>
      <c r="KX88" s="21"/>
      <c r="KY88" s="168">
        <v>4636140</v>
      </c>
      <c r="KZ88" s="168">
        <v>6480541</v>
      </c>
      <c r="LA88" s="168">
        <v>3521643</v>
      </c>
      <c r="LB88" s="168">
        <v>3521443</v>
      </c>
      <c r="LC88" s="21"/>
      <c r="LD88" s="21"/>
      <c r="LE88" s="21"/>
      <c r="LF88" s="21"/>
      <c r="LG88" s="21"/>
      <c r="LH88" s="21"/>
      <c r="LI88" s="168">
        <v>9729</v>
      </c>
      <c r="LJ88" s="168">
        <v>53373</v>
      </c>
      <c r="LK88" s="21"/>
      <c r="LL88" s="21"/>
      <c r="LM88" s="168">
        <v>1237690</v>
      </c>
      <c r="LN88" s="168">
        <v>1537871</v>
      </c>
      <c r="LO88" s="21"/>
      <c r="LP88" s="21"/>
      <c r="LQ88" s="21"/>
      <c r="LR88" s="21"/>
      <c r="LS88" s="21"/>
      <c r="LT88" s="21"/>
      <c r="LU88" s="21"/>
      <c r="LV88" s="21"/>
      <c r="LW88" s="21"/>
      <c r="LX88" s="21"/>
      <c r="LY88" s="21"/>
      <c r="LZ88" s="21"/>
      <c r="MA88" s="168">
        <v>14594380</v>
      </c>
      <c r="MB88" s="168">
        <v>14133666</v>
      </c>
      <c r="MC88" s="168">
        <v>39605</v>
      </c>
      <c r="MD88" s="168">
        <v>1323</v>
      </c>
      <c r="ME88" s="21"/>
      <c r="MF88" s="21"/>
      <c r="MG88" s="21"/>
      <c r="MH88" s="21"/>
      <c r="MI88" s="21"/>
      <c r="MJ88" s="21"/>
      <c r="MK88" s="21"/>
      <c r="ML88" s="21"/>
      <c r="MM88" s="168">
        <v>2034811</v>
      </c>
      <c r="MN88" s="168">
        <v>2565101</v>
      </c>
      <c r="MO88" s="168">
        <v>1680183</v>
      </c>
      <c r="MP88" s="168">
        <v>1612372</v>
      </c>
      <c r="MQ88" s="168">
        <v>695900</v>
      </c>
      <c r="MR88" s="168">
        <v>687125</v>
      </c>
      <c r="MS88" s="21"/>
      <c r="MT88" s="21"/>
      <c r="MU88" s="168">
        <v>-92115</v>
      </c>
      <c r="MV88" s="168">
        <v>-112521</v>
      </c>
      <c r="MW88" s="168">
        <v>3393869</v>
      </c>
      <c r="MX88" s="168">
        <v>3393869</v>
      </c>
      <c r="MY88" s="168">
        <v>5091073</v>
      </c>
      <c r="MZ88" s="168">
        <v>5084159</v>
      </c>
      <c r="NA88" s="168">
        <v>2925195</v>
      </c>
      <c r="NB88" s="168">
        <v>2925195</v>
      </c>
      <c r="NC88" s="168">
        <v>694358</v>
      </c>
      <c r="ND88" s="168">
        <v>1214126</v>
      </c>
      <c r="NE88" s="21"/>
      <c r="NF88" s="21"/>
      <c r="NG88" s="168">
        <v>28319692</v>
      </c>
      <c r="NH88" s="168">
        <v>28676968</v>
      </c>
      <c r="NI88" s="21"/>
      <c r="NJ88" s="21"/>
      <c r="NK88" s="21"/>
      <c r="NL88" s="21"/>
      <c r="NM88" s="168">
        <v>29742926</v>
      </c>
      <c r="NN88" s="168">
        <v>30372557</v>
      </c>
      <c r="NO88" s="168">
        <v>60438703</v>
      </c>
      <c r="NP88" s="168">
        <v>61349022</v>
      </c>
      <c r="NQ88" s="168" t="s">
        <v>1083</v>
      </c>
      <c r="NR88" s="168" t="s">
        <v>775</v>
      </c>
      <c r="NS88" s="168" t="s">
        <v>770</v>
      </c>
      <c r="NT88" s="168" t="s">
        <v>771</v>
      </c>
      <c r="NU88" s="168">
        <v>1708</v>
      </c>
      <c r="NV88" s="168" t="s">
        <v>2104</v>
      </c>
      <c r="NW88" s="168" t="s">
        <v>28</v>
      </c>
      <c r="NX88" s="168" t="s">
        <v>25</v>
      </c>
      <c r="NY88" s="169">
        <v>42916</v>
      </c>
      <c r="NZ88" s="169">
        <v>42551</v>
      </c>
      <c r="OA88" s="169">
        <v>43126</v>
      </c>
      <c r="OB88" s="168" t="s">
        <v>1084</v>
      </c>
      <c r="OC88" s="168">
        <v>12</v>
      </c>
      <c r="OD88" s="168" t="s">
        <v>2105</v>
      </c>
      <c r="OE88" s="168" t="s">
        <v>2186</v>
      </c>
      <c r="OF88" s="168" t="s">
        <v>2280</v>
      </c>
      <c r="OG88" s="168" t="s">
        <v>1872</v>
      </c>
      <c r="OH88" s="168" t="s">
        <v>783</v>
      </c>
      <c r="OI88" s="168" t="s">
        <v>766</v>
      </c>
      <c r="OJ88" s="168" t="s">
        <v>3240</v>
      </c>
      <c r="OK88" s="168" t="s">
        <v>773</v>
      </c>
    </row>
    <row r="89" spans="1:401" x14ac:dyDescent="0.2">
      <c r="A89" s="170" t="str">
        <f>Liste[[#This Row],[Siren]]</f>
        <v>781195334</v>
      </c>
      <c r="B89" s="198" t="str">
        <f>Liste[[#This Row],[Dénomination]]&amp;" - comptes "&amp;YEAR(Liste[[#This Row],[Date de cloture de l''exercice]])</f>
        <v>UNICOOP - UNION COOPERATIVE DE VITICULTEURS CHARENTAIS - COO - comptes 2017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/>
      <c r="GK89" s="21"/>
      <c r="GL89" s="21"/>
      <c r="GM89" s="21"/>
      <c r="GN89" s="21"/>
      <c r="GO89" s="21"/>
      <c r="GP89" s="21"/>
      <c r="GQ89" s="21"/>
      <c r="GR89" s="21"/>
      <c r="GS89" s="21"/>
      <c r="GT89" s="21"/>
      <c r="GU89" s="21"/>
      <c r="GV89" s="21"/>
      <c r="GW89" s="21"/>
      <c r="GX89" s="21"/>
      <c r="GY89" s="21"/>
      <c r="GZ89" s="21"/>
      <c r="HA89" s="21"/>
      <c r="HB89" s="21"/>
      <c r="HC89" s="21"/>
      <c r="HD89" s="21"/>
      <c r="HE89" s="21"/>
      <c r="HF89" s="21"/>
      <c r="HG89" s="21"/>
      <c r="HH89" s="21"/>
      <c r="HI89" s="21"/>
      <c r="HJ89" s="21"/>
      <c r="HK89" s="21"/>
      <c r="HL89" s="21"/>
      <c r="HM89" s="21"/>
      <c r="HN89" s="21"/>
      <c r="HO89" s="21"/>
      <c r="HP89" s="21"/>
      <c r="HQ89" s="21"/>
      <c r="HR89" s="21"/>
      <c r="HS89" s="21"/>
      <c r="HT89" s="21"/>
      <c r="HU89" s="21"/>
      <c r="HV89" s="21"/>
      <c r="HW89" s="21"/>
      <c r="HX89" s="21"/>
      <c r="HY89" s="21"/>
      <c r="HZ89" s="21"/>
      <c r="IA89" s="21"/>
      <c r="IB89" s="21"/>
      <c r="IC89" s="21"/>
      <c r="ID89" s="21"/>
      <c r="IE89" s="21"/>
      <c r="IF89" s="21"/>
      <c r="IG89" s="21"/>
      <c r="IH89" s="21"/>
      <c r="II89" s="21"/>
      <c r="IJ89" s="21"/>
      <c r="IK89" s="21"/>
      <c r="IL89" s="21"/>
      <c r="IM89" s="21"/>
      <c r="IN89" s="21"/>
      <c r="IO89" s="21"/>
      <c r="IP89" s="21"/>
      <c r="IQ89" s="21"/>
      <c r="IR89" s="21"/>
      <c r="IS89" s="21"/>
      <c r="IT89" s="21"/>
      <c r="IU89" s="21"/>
      <c r="IV89" s="21"/>
      <c r="IW89" s="21"/>
      <c r="IX89" s="21"/>
      <c r="IY89" s="21"/>
      <c r="IZ89" s="21"/>
      <c r="JA89" s="21"/>
      <c r="JB89" s="21"/>
      <c r="JC89" s="21"/>
      <c r="JD89" s="21"/>
      <c r="JE89" s="21"/>
      <c r="JF89" s="21"/>
      <c r="JG89" s="21"/>
      <c r="JH89" s="21"/>
      <c r="JI89" s="21"/>
      <c r="JJ89" s="21"/>
      <c r="JK89" s="21"/>
      <c r="JL89" s="21"/>
      <c r="JM89" s="21"/>
      <c r="JN89" s="21"/>
      <c r="JO89" s="21"/>
      <c r="JP89" s="21"/>
      <c r="JQ89" s="21"/>
      <c r="JR89" s="21"/>
      <c r="JS89" s="21"/>
      <c r="JT89" s="21"/>
      <c r="JU89" s="21"/>
      <c r="JV89" s="21"/>
      <c r="JW89" s="21"/>
      <c r="JX89" s="21"/>
      <c r="JY89" s="21"/>
      <c r="JZ89" s="21"/>
      <c r="KA89" s="21"/>
      <c r="KB89" s="21"/>
      <c r="KC89" s="21"/>
      <c r="KD89" s="21"/>
      <c r="KE89" s="21"/>
      <c r="KF89" s="21"/>
      <c r="KG89" s="21"/>
      <c r="KH89" s="21"/>
      <c r="KI89" s="21"/>
      <c r="KJ89" s="21"/>
      <c r="KK89" s="21"/>
      <c r="KL89" s="21"/>
      <c r="KM89" s="21"/>
      <c r="KN89" s="21"/>
      <c r="KO89" s="21"/>
      <c r="KP89" s="21"/>
      <c r="KQ89" s="21"/>
      <c r="KR89" s="21"/>
      <c r="KS89" s="21"/>
      <c r="KT89" s="21"/>
      <c r="KU89" s="21"/>
      <c r="KV89" s="21"/>
      <c r="KW89" s="21"/>
      <c r="KX89" s="21"/>
      <c r="KY89" s="21"/>
      <c r="KZ89" s="21"/>
      <c r="LA89" s="21"/>
      <c r="LB89" s="21"/>
      <c r="LC89" s="21"/>
      <c r="LD89" s="21"/>
      <c r="LE89" s="21"/>
      <c r="LF89" s="21"/>
      <c r="LG89" s="21"/>
      <c r="LH89" s="21"/>
      <c r="LI89" s="21"/>
      <c r="LJ89" s="21"/>
      <c r="LK89" s="21"/>
      <c r="LL89" s="21"/>
      <c r="LM89" s="21"/>
      <c r="LN89" s="21"/>
      <c r="LO89" s="21"/>
      <c r="LP89" s="21"/>
      <c r="LQ89" s="21"/>
      <c r="LR89" s="21"/>
      <c r="LS89" s="21"/>
      <c r="LT89" s="21"/>
      <c r="LU89" s="21"/>
      <c r="LV89" s="21"/>
      <c r="LW89" s="21"/>
      <c r="LX89" s="21"/>
      <c r="LY89" s="21"/>
      <c r="LZ89" s="21"/>
      <c r="MA89" s="21"/>
      <c r="MB89" s="21"/>
      <c r="MC89" s="21"/>
      <c r="MD89" s="21"/>
      <c r="ME89" s="21"/>
      <c r="MF89" s="21"/>
      <c r="MG89" s="21"/>
      <c r="MH89" s="21"/>
      <c r="MI89" s="21"/>
      <c r="MJ89" s="21"/>
      <c r="MK89" s="21"/>
      <c r="ML89" s="21"/>
      <c r="MM89" s="21"/>
      <c r="MN89" s="21"/>
      <c r="MO89" s="21"/>
      <c r="MP89" s="21"/>
      <c r="MQ89" s="21"/>
      <c r="MR89" s="21"/>
      <c r="MS89" s="21"/>
      <c r="MT89" s="21"/>
      <c r="MU89" s="21"/>
      <c r="MV89" s="21"/>
      <c r="MW89" s="21"/>
      <c r="MX89" s="21"/>
      <c r="MY89" s="21"/>
      <c r="MZ89" s="21"/>
      <c r="NA89" s="21"/>
      <c r="NB89" s="21"/>
      <c r="NC89" s="21"/>
      <c r="ND89" s="21"/>
      <c r="NE89" s="21"/>
      <c r="NF89" s="21"/>
      <c r="NG89" s="21"/>
      <c r="NH89" s="21"/>
      <c r="NI89" s="21"/>
      <c r="NJ89" s="21"/>
      <c r="NK89" s="21"/>
      <c r="NL89" s="21"/>
      <c r="NM89" s="21"/>
      <c r="NN89" s="21"/>
      <c r="NO89" s="21"/>
      <c r="NP89" s="21"/>
      <c r="NQ89" s="168" t="s">
        <v>1046</v>
      </c>
      <c r="NR89" s="168" t="s">
        <v>1145</v>
      </c>
      <c r="NS89" s="168" t="s">
        <v>770</v>
      </c>
      <c r="NT89" s="168" t="s">
        <v>771</v>
      </c>
      <c r="NU89" s="168">
        <v>1601</v>
      </c>
      <c r="NV89" s="168" t="s">
        <v>2120</v>
      </c>
      <c r="NW89" s="168" t="s">
        <v>28</v>
      </c>
      <c r="NX89" s="168" t="s">
        <v>25</v>
      </c>
      <c r="NY89" s="169">
        <v>42916</v>
      </c>
      <c r="NZ89" s="169">
        <v>42551</v>
      </c>
      <c r="OA89" s="169">
        <v>43122</v>
      </c>
      <c r="OB89" s="168" t="s">
        <v>1146</v>
      </c>
      <c r="OC89" s="168">
        <v>12</v>
      </c>
      <c r="OD89" s="168" t="s">
        <v>2105</v>
      </c>
      <c r="OE89" s="168" t="s">
        <v>2153</v>
      </c>
      <c r="OF89" s="168" t="s">
        <v>2331</v>
      </c>
      <c r="OG89" s="168" t="s">
        <v>1901</v>
      </c>
      <c r="OH89" s="168" t="s">
        <v>924</v>
      </c>
      <c r="OI89" s="168" t="s">
        <v>825</v>
      </c>
      <c r="OJ89" s="168" t="s">
        <v>3371</v>
      </c>
      <c r="OK89" s="168" t="s">
        <v>1144</v>
      </c>
    </row>
    <row r="90" spans="1:401" x14ac:dyDescent="0.2">
      <c r="A90" s="170" t="str">
        <f>Liste[[#This Row],[Siren]]</f>
        <v>498687094</v>
      </c>
      <c r="B90" s="198" t="str">
        <f>Liste[[#This Row],[Dénomination]]&amp;" - comptes "&amp;YEAR(Liste[[#This Row],[Date de cloture de l''exercice]])</f>
        <v>GNT DEVELOPPEMENT - comptes 2017</v>
      </c>
      <c r="C90" s="21"/>
      <c r="D90" s="21"/>
      <c r="E90" s="168">
        <v>728499</v>
      </c>
      <c r="F90" s="168">
        <v>3098816</v>
      </c>
      <c r="G90" s="168">
        <v>3259586</v>
      </c>
      <c r="H90" s="168">
        <v>3827315</v>
      </c>
      <c r="I90" s="168">
        <v>2014420</v>
      </c>
      <c r="J90" s="168">
        <v>385110</v>
      </c>
      <c r="K90" s="168">
        <v>854329</v>
      </c>
      <c r="L90" s="168">
        <v>2399530</v>
      </c>
      <c r="M90" s="21"/>
      <c r="N90" s="168">
        <v>164852</v>
      </c>
      <c r="O90" s="168">
        <v>155001</v>
      </c>
      <c r="P90" s="168">
        <v>164852</v>
      </c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168">
        <v>56852</v>
      </c>
      <c r="BA90" s="168">
        <v>90158</v>
      </c>
      <c r="BB90" s="168">
        <v>56852</v>
      </c>
      <c r="BC90" s="168">
        <v>1542712</v>
      </c>
      <c r="BD90" s="168">
        <v>8454973</v>
      </c>
      <c r="BE90" s="168">
        <v>9894434</v>
      </c>
      <c r="BF90" s="168">
        <v>9997685</v>
      </c>
      <c r="BG90" s="168">
        <v>131186</v>
      </c>
      <c r="BH90" s="168">
        <v>42283</v>
      </c>
      <c r="BI90" s="168">
        <v>39068</v>
      </c>
      <c r="BJ90" s="168">
        <v>173470</v>
      </c>
      <c r="BK90" s="168">
        <v>195497</v>
      </c>
      <c r="BL90" s="168">
        <v>232369</v>
      </c>
      <c r="BM90" s="168">
        <v>253494</v>
      </c>
      <c r="BN90" s="168">
        <v>427866</v>
      </c>
      <c r="BO90" s="21"/>
      <c r="BP90" s="21"/>
      <c r="BQ90" s="21"/>
      <c r="BR90" s="21"/>
      <c r="BS90" s="21"/>
      <c r="BT90" s="21"/>
      <c r="BU90" s="21"/>
      <c r="BV90" s="21"/>
      <c r="BW90" s="21"/>
      <c r="BX90" s="168">
        <v>480023</v>
      </c>
      <c r="BY90" s="168">
        <v>534455</v>
      </c>
      <c r="BZ90" s="168">
        <v>480023</v>
      </c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168">
        <v>58711</v>
      </c>
      <c r="DD90" s="21"/>
      <c r="DE90" s="168">
        <v>58711</v>
      </c>
      <c r="DF90" s="168">
        <v>2089468</v>
      </c>
      <c r="DG90" s="168">
        <v>988084</v>
      </c>
      <c r="DH90" s="168">
        <v>1117016</v>
      </c>
      <c r="DI90" s="168">
        <v>3077552</v>
      </c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168">
        <v>164781</v>
      </c>
      <c r="EA90" s="168">
        <v>471024</v>
      </c>
      <c r="EB90" s="168">
        <v>164781</v>
      </c>
      <c r="EC90" s="21"/>
      <c r="ED90" s="21"/>
      <c r="EE90" s="21"/>
      <c r="EF90" s="21"/>
      <c r="EG90" s="21"/>
      <c r="EH90" s="21"/>
      <c r="EI90" s="21"/>
      <c r="EJ90" s="21"/>
      <c r="EK90" s="168">
        <v>344404</v>
      </c>
      <c r="EL90" s="168">
        <v>164852</v>
      </c>
      <c r="EM90" s="168">
        <v>155001</v>
      </c>
      <c r="EN90" s="168">
        <v>509256</v>
      </c>
      <c r="EO90" s="21"/>
      <c r="EP90" s="21"/>
      <c r="EQ90" s="21"/>
      <c r="ER90" s="21"/>
      <c r="ES90" s="21"/>
      <c r="ET90" s="21"/>
      <c r="EU90" s="21"/>
      <c r="EV90" s="21"/>
      <c r="EW90" s="168">
        <v>9600</v>
      </c>
      <c r="EX90" s="168">
        <v>50000</v>
      </c>
      <c r="EY90" s="168">
        <v>50000</v>
      </c>
      <c r="EZ90" s="168">
        <v>59600</v>
      </c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168">
        <v>77618</v>
      </c>
      <c r="FN90" s="168">
        <v>342401</v>
      </c>
      <c r="FO90" s="21"/>
      <c r="FP90" s="21"/>
      <c r="FQ90" s="168">
        <v>11938</v>
      </c>
      <c r="FR90" s="168">
        <v>11938</v>
      </c>
      <c r="FS90" s="21"/>
      <c r="FT90" s="21"/>
      <c r="FU90" s="168">
        <v>-14918</v>
      </c>
      <c r="FV90" s="168">
        <v>112921</v>
      </c>
      <c r="FW90" s="168">
        <v>-4800</v>
      </c>
      <c r="FX90" s="168">
        <v>-2000</v>
      </c>
      <c r="FY90" s="21"/>
      <c r="FZ90" s="21"/>
      <c r="GA90" s="21"/>
      <c r="GB90" s="21"/>
      <c r="GC90" s="168">
        <v>40285</v>
      </c>
      <c r="GD90" s="168">
        <v>264119</v>
      </c>
      <c r="GE90" s="21"/>
      <c r="GF90" s="21"/>
      <c r="GG90" s="21"/>
      <c r="GH90" s="21"/>
      <c r="GI90" s="21"/>
      <c r="GJ90" s="21"/>
      <c r="GK90" s="21"/>
      <c r="GL90" s="21"/>
      <c r="GM90" s="21"/>
      <c r="GN90" s="21"/>
      <c r="GO90" s="21"/>
      <c r="GP90" s="21"/>
      <c r="GQ90" s="21"/>
      <c r="GR90" s="21"/>
      <c r="GS90" s="21"/>
      <c r="GT90" s="21"/>
      <c r="GU90" s="168">
        <v>227664</v>
      </c>
      <c r="GV90" s="168">
        <v>1552669</v>
      </c>
      <c r="GW90" s="168">
        <v>401170</v>
      </c>
      <c r="GX90" s="168">
        <v>784393</v>
      </c>
      <c r="GY90" s="21"/>
      <c r="GZ90" s="21"/>
      <c r="HA90" s="168">
        <v>6660603</v>
      </c>
      <c r="HB90" s="168">
        <v>7534593</v>
      </c>
      <c r="HC90" s="168">
        <v>14937898</v>
      </c>
      <c r="HD90" s="168">
        <v>18023577</v>
      </c>
      <c r="HE90" s="168">
        <v>346</v>
      </c>
      <c r="HF90" s="168">
        <v>362</v>
      </c>
      <c r="HG90" s="21"/>
      <c r="HH90" s="21"/>
      <c r="HI90" s="168">
        <v>7396</v>
      </c>
      <c r="HJ90" s="168">
        <v>4543</v>
      </c>
      <c r="HK90" s="21"/>
      <c r="HL90" s="21"/>
      <c r="HM90" s="21"/>
      <c r="HN90" s="21"/>
      <c r="HO90" s="168">
        <v>3654290</v>
      </c>
      <c r="HP90" s="168">
        <v>3904452</v>
      </c>
      <c r="HQ90" s="21"/>
      <c r="HR90" s="21"/>
      <c r="HS90" s="21"/>
      <c r="HT90" s="21"/>
      <c r="HU90" s="21"/>
      <c r="HV90" s="21"/>
      <c r="HW90" s="21"/>
      <c r="HX90" s="21"/>
      <c r="HY90" s="21"/>
      <c r="HZ90" s="21"/>
      <c r="IA90" s="21"/>
      <c r="IB90" s="21"/>
      <c r="IC90" s="21"/>
      <c r="ID90" s="21"/>
      <c r="IE90" s="168">
        <v>521157</v>
      </c>
      <c r="IF90" s="168">
        <v>644478</v>
      </c>
      <c r="IG90" s="21"/>
      <c r="IH90" s="21"/>
      <c r="II90" s="21"/>
      <c r="IJ90" s="21"/>
      <c r="IK90" s="168">
        <v>58711</v>
      </c>
      <c r="IL90" s="168">
        <v>621</v>
      </c>
      <c r="IM90" s="21"/>
      <c r="IN90" s="21"/>
      <c r="IO90" s="21"/>
      <c r="IP90" s="21"/>
      <c r="IQ90" s="21"/>
      <c r="IR90" s="21"/>
      <c r="IS90" s="21"/>
      <c r="IT90" s="21"/>
      <c r="IU90" s="168">
        <v>91797</v>
      </c>
      <c r="IV90" s="168">
        <v>-3792319</v>
      </c>
      <c r="IW90" s="21"/>
      <c r="IX90" s="21"/>
      <c r="IY90" s="168">
        <v>-629408</v>
      </c>
      <c r="IZ90" s="168">
        <v>-856409</v>
      </c>
      <c r="JA90" s="168">
        <v>143578</v>
      </c>
      <c r="JB90" s="168">
        <v>9003</v>
      </c>
      <c r="JC90" s="21"/>
      <c r="JD90" s="21"/>
      <c r="JE90" s="168">
        <v>9167837</v>
      </c>
      <c r="JF90" s="168">
        <v>10592004</v>
      </c>
      <c r="JG90" s="168">
        <v>4200</v>
      </c>
      <c r="JH90" s="168">
        <v>1600</v>
      </c>
      <c r="JI90" s="168">
        <v>35946998</v>
      </c>
      <c r="JJ90" s="168">
        <v>43798556</v>
      </c>
      <c r="JK90" s="168">
        <v>638144</v>
      </c>
      <c r="JL90" s="168">
        <v>872406</v>
      </c>
      <c r="JM90" s="168">
        <v>36668193</v>
      </c>
      <c r="JN90" s="168">
        <v>40862646</v>
      </c>
      <c r="JO90" s="168">
        <v>8736</v>
      </c>
      <c r="JP90" s="168">
        <v>15997</v>
      </c>
      <c r="JQ90" s="21"/>
      <c r="JR90" s="21"/>
      <c r="JS90" s="168">
        <v>177305</v>
      </c>
      <c r="JT90" s="168">
        <v>75342</v>
      </c>
      <c r="JU90" s="21"/>
      <c r="JV90" s="21"/>
      <c r="JW90" s="168">
        <v>36058928</v>
      </c>
      <c r="JX90" s="168">
        <v>40429451</v>
      </c>
      <c r="JY90" s="21"/>
      <c r="JZ90" s="21"/>
      <c r="KA90" s="21"/>
      <c r="KB90" s="21"/>
      <c r="KC90" s="21"/>
      <c r="KD90" s="21"/>
      <c r="KE90" s="21"/>
      <c r="KF90" s="21"/>
      <c r="KG90" s="21"/>
      <c r="KH90" s="21"/>
      <c r="KI90" s="21"/>
      <c r="KJ90" s="21"/>
      <c r="KK90" s="21"/>
      <c r="KL90" s="21"/>
      <c r="KM90" s="21"/>
      <c r="KN90" s="21"/>
      <c r="KO90" s="21"/>
      <c r="KP90" s="21"/>
      <c r="KQ90" s="168">
        <v>49963</v>
      </c>
      <c r="KR90" s="168">
        <v>57507</v>
      </c>
      <c r="KS90" s="21"/>
      <c r="KT90" s="21"/>
      <c r="KU90" s="21"/>
      <c r="KV90" s="21"/>
      <c r="KW90" s="21"/>
      <c r="KX90" s="21"/>
      <c r="KY90" s="21"/>
      <c r="KZ90" s="21"/>
      <c r="LA90" s="168">
        <v>4515020</v>
      </c>
      <c r="LB90" s="168">
        <v>4515020</v>
      </c>
      <c r="LC90" s="21"/>
      <c r="LD90" s="21"/>
      <c r="LE90" s="21"/>
      <c r="LF90" s="21"/>
      <c r="LG90" s="21"/>
      <c r="LH90" s="21"/>
      <c r="LI90" s="168">
        <v>6686513</v>
      </c>
      <c r="LJ90" s="168">
        <v>8298560</v>
      </c>
      <c r="LK90" s="168">
        <v>6295145</v>
      </c>
      <c r="LL90" s="168">
        <v>7407528</v>
      </c>
      <c r="LM90" s="21"/>
      <c r="LN90" s="21"/>
      <c r="LO90" s="21"/>
      <c r="LP90" s="21"/>
      <c r="LQ90" s="21"/>
      <c r="LR90" s="21"/>
      <c r="LS90" s="21"/>
      <c r="LT90" s="21"/>
      <c r="LU90" s="21"/>
      <c r="LV90" s="21"/>
      <c r="LW90" s="21"/>
      <c r="LX90" s="21"/>
      <c r="LY90" s="21"/>
      <c r="LZ90" s="21"/>
      <c r="MA90" s="168">
        <v>472803</v>
      </c>
      <c r="MB90" s="168">
        <v>1173058</v>
      </c>
      <c r="MC90" s="168">
        <v>3077856</v>
      </c>
      <c r="MD90" s="168">
        <v>2763540</v>
      </c>
      <c r="ME90" s="168">
        <v>3657522</v>
      </c>
      <c r="MF90" s="168">
        <v>2657522</v>
      </c>
      <c r="MG90" s="21"/>
      <c r="MH90" s="21"/>
      <c r="MI90" s="168">
        <v>16000</v>
      </c>
      <c r="MJ90" s="168">
        <v>16000</v>
      </c>
      <c r="MK90" s="21"/>
      <c r="ML90" s="21"/>
      <c r="MM90" s="21"/>
      <c r="MN90" s="21"/>
      <c r="MO90" s="21"/>
      <c r="MP90" s="21"/>
      <c r="MQ90" s="21"/>
      <c r="MR90" s="21"/>
      <c r="MS90" s="21"/>
      <c r="MT90" s="21"/>
      <c r="MU90" s="168">
        <v>-6994084</v>
      </c>
      <c r="MV90" s="168">
        <v>-1983581</v>
      </c>
      <c r="MW90" s="21"/>
      <c r="MX90" s="21"/>
      <c r="MY90" s="21"/>
      <c r="MZ90" s="21"/>
      <c r="NA90" s="21"/>
      <c r="NB90" s="21"/>
      <c r="NC90" s="21"/>
      <c r="ND90" s="21"/>
      <c r="NE90" s="21"/>
      <c r="NF90" s="21"/>
      <c r="NG90" s="21"/>
      <c r="NH90" s="21"/>
      <c r="NI90" s="21"/>
      <c r="NJ90" s="21"/>
      <c r="NK90" s="21"/>
      <c r="NL90" s="21"/>
      <c r="NM90" s="21"/>
      <c r="NN90" s="21"/>
      <c r="NO90" s="21"/>
      <c r="NP90" s="21"/>
      <c r="NQ90" s="168" t="s">
        <v>1038</v>
      </c>
      <c r="NR90" s="168" t="s">
        <v>769</v>
      </c>
      <c r="NS90" s="168" t="s">
        <v>770</v>
      </c>
      <c r="NT90" s="168" t="s">
        <v>771</v>
      </c>
      <c r="NU90" s="168">
        <v>5402</v>
      </c>
      <c r="NV90" s="168" t="s">
        <v>2104</v>
      </c>
      <c r="NW90" s="168" t="s">
        <v>28</v>
      </c>
      <c r="NX90" s="168" t="s">
        <v>25</v>
      </c>
      <c r="NY90" s="169">
        <v>42916</v>
      </c>
      <c r="NZ90" s="169">
        <v>42551</v>
      </c>
      <c r="OA90" s="169">
        <v>43105</v>
      </c>
      <c r="OB90" s="168" t="s">
        <v>1039</v>
      </c>
      <c r="OC90" s="168">
        <v>12</v>
      </c>
      <c r="OD90" s="168" t="s">
        <v>2105</v>
      </c>
      <c r="OE90" s="168" t="s">
        <v>2163</v>
      </c>
      <c r="OF90" s="168" t="s">
        <v>2242</v>
      </c>
      <c r="OG90" s="168" t="s">
        <v>1857</v>
      </c>
      <c r="OH90" s="168" t="s">
        <v>977</v>
      </c>
      <c r="OI90" s="168" t="s">
        <v>766</v>
      </c>
      <c r="OJ90" s="168" t="s">
        <v>3240</v>
      </c>
      <c r="OK90" s="168" t="s">
        <v>767</v>
      </c>
    </row>
    <row r="91" spans="1:401" x14ac:dyDescent="0.2">
      <c r="A91" s="170" t="str">
        <f>Liste[[#This Row],[Siren]]</f>
        <v>775784689</v>
      </c>
      <c r="B91" s="198" t="str">
        <f>Liste[[#This Row],[Dénomination]]&amp;" - comptes "&amp;YEAR(Liste[[#This Row],[Date de cloture de l''exercice]])</f>
        <v>SOCIETE COOPERATIVE AGRICOLE ARTERRIS - comptes 2017</v>
      </c>
      <c r="C91" s="21"/>
      <c r="D91" s="21"/>
      <c r="E91" s="21"/>
      <c r="F91" s="21"/>
      <c r="G91" s="21"/>
      <c r="H91" s="21"/>
      <c r="I91" s="168">
        <v>32090547</v>
      </c>
      <c r="J91" s="168">
        <v>12839627</v>
      </c>
      <c r="K91" s="168">
        <v>11325948</v>
      </c>
      <c r="L91" s="168">
        <v>44930174</v>
      </c>
      <c r="M91" s="168">
        <v>34407</v>
      </c>
      <c r="N91" s="168">
        <v>35479499</v>
      </c>
      <c r="O91" s="168">
        <v>10731625</v>
      </c>
      <c r="P91" s="168">
        <v>35513906</v>
      </c>
      <c r="Q91" s="168">
        <v>101964</v>
      </c>
      <c r="R91" s="168">
        <v>47994</v>
      </c>
      <c r="S91" s="168">
        <v>59100</v>
      </c>
      <c r="T91" s="168">
        <v>149958</v>
      </c>
      <c r="U91" s="168">
        <v>100000</v>
      </c>
      <c r="V91" s="168">
        <v>15801689</v>
      </c>
      <c r="W91" s="168">
        <v>7560742</v>
      </c>
      <c r="X91" s="168">
        <v>15901689</v>
      </c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168">
        <v>110472</v>
      </c>
      <c r="AJ91" s="21"/>
      <c r="AK91" s="21"/>
      <c r="AL91" s="168">
        <v>149834</v>
      </c>
      <c r="AM91" s="168">
        <v>511862</v>
      </c>
      <c r="AN91" s="168">
        <v>149834</v>
      </c>
      <c r="AO91" s="21"/>
      <c r="AP91" s="21"/>
      <c r="AQ91" s="21"/>
      <c r="AR91" s="21"/>
      <c r="AS91" s="168">
        <v>15614</v>
      </c>
      <c r="AT91" s="168">
        <v>31160</v>
      </c>
      <c r="AU91" s="168">
        <v>15614</v>
      </c>
      <c r="AV91" s="21"/>
      <c r="AW91" s="21"/>
      <c r="AX91" s="21"/>
      <c r="AY91" s="21"/>
      <c r="AZ91" s="21"/>
      <c r="BA91" s="21"/>
      <c r="BB91" s="21"/>
      <c r="BC91" s="168">
        <v>4518814</v>
      </c>
      <c r="BD91" s="168">
        <v>112842395</v>
      </c>
      <c r="BE91" s="168">
        <v>73924800</v>
      </c>
      <c r="BF91" s="168">
        <v>117361209</v>
      </c>
      <c r="BG91" s="168">
        <v>9564189</v>
      </c>
      <c r="BH91" s="168">
        <v>3542120</v>
      </c>
      <c r="BI91" s="168">
        <v>1750074</v>
      </c>
      <c r="BJ91" s="168">
        <v>13106309</v>
      </c>
      <c r="BK91" s="168">
        <v>162266767</v>
      </c>
      <c r="BL91" s="168">
        <v>53457002</v>
      </c>
      <c r="BM91" s="168">
        <v>51144849</v>
      </c>
      <c r="BN91" s="168">
        <v>215723769</v>
      </c>
      <c r="BO91" s="21"/>
      <c r="BP91" s="21"/>
      <c r="BQ91" s="21"/>
      <c r="BR91" s="21"/>
      <c r="BS91" s="21"/>
      <c r="BT91" s="21"/>
      <c r="BU91" s="21"/>
      <c r="BV91" s="21"/>
      <c r="BW91" s="21"/>
      <c r="BX91" s="168">
        <v>18915196</v>
      </c>
      <c r="BY91" s="168">
        <v>5754363</v>
      </c>
      <c r="BZ91" s="168">
        <v>18915196</v>
      </c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168">
        <v>12835586</v>
      </c>
      <c r="CQ91" s="168">
        <v>3</v>
      </c>
      <c r="CR91" s="168">
        <v>269744</v>
      </c>
      <c r="CS91" s="168">
        <v>12835589</v>
      </c>
      <c r="CT91" s="168">
        <v>18232</v>
      </c>
      <c r="CU91" s="168">
        <v>200318</v>
      </c>
      <c r="CV91" s="21"/>
      <c r="CW91" s="168">
        <v>218550</v>
      </c>
      <c r="CX91" s="168">
        <v>64066</v>
      </c>
      <c r="CY91" s="21"/>
      <c r="CZ91" s="21"/>
      <c r="DA91" s="168">
        <v>64066</v>
      </c>
      <c r="DB91" s="21"/>
      <c r="DC91" s="168">
        <v>2529741</v>
      </c>
      <c r="DD91" s="168">
        <v>4817204</v>
      </c>
      <c r="DE91" s="168">
        <v>2529741</v>
      </c>
      <c r="DF91" s="168">
        <v>127105908</v>
      </c>
      <c r="DG91" s="168">
        <v>31852965</v>
      </c>
      <c r="DH91" s="168">
        <v>32870585</v>
      </c>
      <c r="DI91" s="168">
        <v>158958873</v>
      </c>
      <c r="DJ91" s="168">
        <v>3699706</v>
      </c>
      <c r="DK91" s="168">
        <v>68898899</v>
      </c>
      <c r="DL91" s="168">
        <v>56138207</v>
      </c>
      <c r="DM91" s="168">
        <v>72598605</v>
      </c>
      <c r="DN91" s="168">
        <v>34792</v>
      </c>
      <c r="DO91" s="168">
        <v>7151698</v>
      </c>
      <c r="DP91" s="168">
        <v>7242106</v>
      </c>
      <c r="DQ91" s="168">
        <v>7186490</v>
      </c>
      <c r="DR91" s="168">
        <v>2884094</v>
      </c>
      <c r="DS91" s="168">
        <v>15326816</v>
      </c>
      <c r="DT91" s="168">
        <v>12638281</v>
      </c>
      <c r="DU91" s="168">
        <v>18210910</v>
      </c>
      <c r="DV91" s="21"/>
      <c r="DW91" s="21"/>
      <c r="DX91" s="21"/>
      <c r="DY91" s="21"/>
      <c r="DZ91" s="21"/>
      <c r="EA91" s="21"/>
      <c r="EB91" s="21"/>
      <c r="EC91" s="168">
        <v>615149</v>
      </c>
      <c r="ED91" s="168">
        <v>9090607</v>
      </c>
      <c r="EE91" s="168">
        <v>8972880</v>
      </c>
      <c r="EF91" s="168">
        <v>9705756</v>
      </c>
      <c r="EG91" s="168">
        <v>7109799</v>
      </c>
      <c r="EH91" s="168">
        <v>23084931</v>
      </c>
      <c r="EI91" s="168">
        <v>2639964</v>
      </c>
      <c r="EJ91" s="168">
        <v>30194730</v>
      </c>
      <c r="EK91" s="168">
        <v>368484016</v>
      </c>
      <c r="EL91" s="168">
        <v>239819812</v>
      </c>
      <c r="EM91" s="168">
        <v>159539146</v>
      </c>
      <c r="EN91" s="168">
        <v>608303828</v>
      </c>
      <c r="EO91" s="168">
        <v>24690050</v>
      </c>
      <c r="EP91" s="168">
        <v>325393065</v>
      </c>
      <c r="EQ91" s="168">
        <v>253123627</v>
      </c>
      <c r="ER91" s="168">
        <v>350083115</v>
      </c>
      <c r="ES91" s="168">
        <v>386064267</v>
      </c>
      <c r="ET91" s="168">
        <v>542112332</v>
      </c>
      <c r="EU91" s="168">
        <v>409991649</v>
      </c>
      <c r="EV91" s="168">
        <v>928176599</v>
      </c>
      <c r="EW91" s="168">
        <v>7198658</v>
      </c>
      <c r="EX91" s="168">
        <v>17982039</v>
      </c>
      <c r="EY91" s="168">
        <v>16561913</v>
      </c>
      <c r="EZ91" s="168">
        <v>25180697</v>
      </c>
      <c r="FA91" s="21"/>
      <c r="FB91" s="168">
        <v>3689770</v>
      </c>
      <c r="FC91" s="168">
        <v>1541942</v>
      </c>
      <c r="FD91" s="168">
        <v>3689770</v>
      </c>
      <c r="FE91" s="21"/>
      <c r="FF91" s="168">
        <v>2756997</v>
      </c>
      <c r="FG91" s="168">
        <v>926297</v>
      </c>
      <c r="FH91" s="168">
        <v>2756997</v>
      </c>
      <c r="FI91" s="168">
        <v>801928</v>
      </c>
      <c r="FJ91" s="168">
        <v>328905</v>
      </c>
      <c r="FK91" s="21"/>
      <c r="FL91" s="21"/>
      <c r="FM91" s="21"/>
      <c r="FN91" s="21"/>
      <c r="FO91" s="21"/>
      <c r="FP91" s="21"/>
      <c r="FQ91" s="168">
        <v>281501</v>
      </c>
      <c r="FR91" s="168">
        <v>374788</v>
      </c>
      <c r="FS91" s="21"/>
      <c r="FT91" s="21"/>
      <c r="FU91" s="168">
        <v>150718</v>
      </c>
      <c r="FV91" s="168">
        <v>30872</v>
      </c>
      <c r="FW91" s="168">
        <v>769797</v>
      </c>
      <c r="FX91" s="168">
        <v>254872</v>
      </c>
      <c r="FY91" s="168">
        <v>135474</v>
      </c>
      <c r="FZ91" s="168">
        <v>9488</v>
      </c>
      <c r="GA91" s="21"/>
      <c r="GB91" s="21"/>
      <c r="GC91" s="21"/>
      <c r="GD91" s="21"/>
      <c r="GE91" s="21"/>
      <c r="GF91" s="21"/>
      <c r="GG91" s="21"/>
      <c r="GH91" s="21"/>
      <c r="GI91" s="21"/>
      <c r="GJ91" s="21"/>
      <c r="GK91" s="21"/>
      <c r="GL91" s="21"/>
      <c r="GM91" s="168">
        <v>3584174</v>
      </c>
      <c r="GN91" s="168">
        <v>1324000</v>
      </c>
      <c r="GO91" s="21"/>
      <c r="GP91" s="21"/>
      <c r="GQ91" s="21"/>
      <c r="GR91" s="21"/>
      <c r="GS91" s="168">
        <v>3448700</v>
      </c>
      <c r="GT91" s="168">
        <v>1333488</v>
      </c>
      <c r="GU91" s="168">
        <v>17302013</v>
      </c>
      <c r="GV91" s="168">
        <v>5249660</v>
      </c>
      <c r="GW91" s="168">
        <v>16500085</v>
      </c>
      <c r="GX91" s="168">
        <v>5578565</v>
      </c>
      <c r="GY91" s="168">
        <v>601847316</v>
      </c>
      <c r="GZ91" s="168">
        <v>475608716</v>
      </c>
      <c r="HA91" s="168">
        <v>72704435</v>
      </c>
      <c r="HB91" s="168">
        <v>78985140</v>
      </c>
      <c r="HC91" s="168">
        <v>42517581</v>
      </c>
      <c r="HD91" s="168">
        <v>32634048</v>
      </c>
      <c r="HE91" s="168">
        <v>5481783</v>
      </c>
      <c r="HF91" s="168">
        <v>4368292</v>
      </c>
      <c r="HG91" s="21"/>
      <c r="HH91" s="21"/>
      <c r="HI91" s="168">
        <v>1473741</v>
      </c>
      <c r="HJ91" s="168">
        <v>264428</v>
      </c>
      <c r="HK91" s="21"/>
      <c r="HL91" s="21"/>
      <c r="HM91" s="21"/>
      <c r="HN91" s="21"/>
      <c r="HO91" s="168">
        <v>22220703</v>
      </c>
      <c r="HP91" s="168">
        <v>18565202</v>
      </c>
      <c r="HQ91" s="21"/>
      <c r="HR91" s="21"/>
      <c r="HS91" s="21"/>
      <c r="HT91" s="21"/>
      <c r="HU91" s="21"/>
      <c r="HV91" s="21"/>
      <c r="HW91" s="21"/>
      <c r="HX91" s="21"/>
      <c r="HY91" s="21"/>
      <c r="HZ91" s="21"/>
      <c r="IA91" s="21"/>
      <c r="IB91" s="21"/>
      <c r="IC91" s="168">
        <v>74486</v>
      </c>
      <c r="ID91" s="168">
        <v>493971</v>
      </c>
      <c r="IE91" s="168">
        <v>10646884</v>
      </c>
      <c r="IF91" s="168">
        <v>8759083</v>
      </c>
      <c r="IG91" s="21"/>
      <c r="IH91" s="21"/>
      <c r="II91" s="21"/>
      <c r="IJ91" s="21"/>
      <c r="IK91" s="168">
        <v>177384</v>
      </c>
      <c r="IL91" s="168">
        <v>164585</v>
      </c>
      <c r="IM91" s="168">
        <v>2143913</v>
      </c>
      <c r="IN91" s="168">
        <v>1615143</v>
      </c>
      <c r="IO91" s="21"/>
      <c r="IP91" s="21"/>
      <c r="IQ91" s="21"/>
      <c r="IR91" s="21"/>
      <c r="IS91" s="21"/>
      <c r="IT91" s="21"/>
      <c r="IU91" s="168">
        <v>4983361</v>
      </c>
      <c r="IV91" s="168">
        <v>1653844</v>
      </c>
      <c r="IW91" s="168">
        <v>5269830</v>
      </c>
      <c r="IX91" s="168">
        <v>1633360</v>
      </c>
      <c r="IY91" s="168">
        <v>286469</v>
      </c>
      <c r="IZ91" s="168">
        <v>20484</v>
      </c>
      <c r="JA91" s="168">
        <v>8893824</v>
      </c>
      <c r="JB91" s="168">
        <v>4126256</v>
      </c>
      <c r="JC91" s="21"/>
      <c r="JD91" s="21"/>
      <c r="JE91" s="21"/>
      <c r="JF91" s="21"/>
      <c r="JG91" s="168">
        <v>396505</v>
      </c>
      <c r="JH91" s="168">
        <v>267570</v>
      </c>
      <c r="JI91" s="168">
        <v>880821749</v>
      </c>
      <c r="JJ91" s="168">
        <v>730428573</v>
      </c>
      <c r="JK91" s="168">
        <v>4098400</v>
      </c>
      <c r="JL91" s="168">
        <v>3725148</v>
      </c>
      <c r="JM91" s="168">
        <v>886091579</v>
      </c>
      <c r="JN91" s="168">
        <v>737061933</v>
      </c>
      <c r="JO91" s="168">
        <v>3811931</v>
      </c>
      <c r="JP91" s="168">
        <v>3745632</v>
      </c>
      <c r="JQ91" s="168">
        <v>2142368</v>
      </c>
      <c r="JR91" s="168">
        <v>7669659</v>
      </c>
      <c r="JS91" s="168">
        <v>689821</v>
      </c>
      <c r="JT91" s="168">
        <v>391234</v>
      </c>
      <c r="JU91" s="21"/>
      <c r="JV91" s="21"/>
      <c r="JW91" s="168">
        <v>870477842</v>
      </c>
      <c r="JX91" s="168">
        <v>726285121</v>
      </c>
      <c r="JY91" s="21"/>
      <c r="JZ91" s="21"/>
      <c r="KA91" s="21"/>
      <c r="KB91" s="21"/>
      <c r="KC91" s="21"/>
      <c r="KD91" s="21"/>
      <c r="KE91" s="168">
        <v>24194822</v>
      </c>
      <c r="KF91" s="168">
        <v>24185913</v>
      </c>
      <c r="KG91" s="21"/>
      <c r="KH91" s="21"/>
      <c r="KI91" s="168">
        <v>747750760</v>
      </c>
      <c r="KJ91" s="168">
        <v>605028096</v>
      </c>
      <c r="KK91" s="21"/>
      <c r="KL91" s="21"/>
      <c r="KM91" s="21"/>
      <c r="KN91" s="21"/>
      <c r="KO91" s="21"/>
      <c r="KP91" s="21"/>
      <c r="KQ91" s="21"/>
      <c r="KR91" s="21"/>
      <c r="KS91" s="168">
        <v>3948723</v>
      </c>
      <c r="KT91" s="21"/>
      <c r="KU91" s="168">
        <v>75016095</v>
      </c>
      <c r="KV91" s="168">
        <v>67260639</v>
      </c>
      <c r="KW91" s="21"/>
      <c r="KX91" s="21"/>
      <c r="KY91" s="21"/>
      <c r="KZ91" s="21"/>
      <c r="LA91" s="168">
        <v>14427415</v>
      </c>
      <c r="LB91" s="168">
        <v>36127320</v>
      </c>
      <c r="LC91" s="168">
        <v>8059037</v>
      </c>
      <c r="LD91" s="168">
        <v>119254</v>
      </c>
      <c r="LE91" s="168">
        <v>135474</v>
      </c>
      <c r="LF91" s="168">
        <v>9488</v>
      </c>
      <c r="LG91" s="21"/>
      <c r="LH91" s="21"/>
      <c r="LI91" s="168">
        <v>35522416</v>
      </c>
      <c r="LJ91" s="168">
        <v>28274989</v>
      </c>
      <c r="LK91" s="168">
        <v>57883413</v>
      </c>
      <c r="LL91" s="168">
        <v>36061222</v>
      </c>
      <c r="LM91" s="21"/>
      <c r="LN91" s="21"/>
      <c r="LO91" s="21"/>
      <c r="LP91" s="21"/>
      <c r="LQ91" s="21"/>
      <c r="LR91" s="21"/>
      <c r="LS91" s="21"/>
      <c r="LT91" s="21"/>
      <c r="LU91" s="21"/>
      <c r="LV91" s="21"/>
      <c r="LW91" s="168">
        <v>7330679</v>
      </c>
      <c r="LX91" s="168">
        <v>2436411</v>
      </c>
      <c r="LY91" s="21"/>
      <c r="LZ91" s="21"/>
      <c r="MA91" s="168">
        <v>83204123</v>
      </c>
      <c r="MB91" s="168">
        <v>48597911</v>
      </c>
      <c r="MC91" s="168">
        <v>2894592</v>
      </c>
      <c r="MD91" s="168">
        <v>2956954</v>
      </c>
      <c r="ME91" s="21"/>
      <c r="MF91" s="21"/>
      <c r="MG91" s="21"/>
      <c r="MH91" s="21"/>
      <c r="MI91" s="168">
        <v>2577991</v>
      </c>
      <c r="MJ91" s="168">
        <v>356061</v>
      </c>
      <c r="MK91" s="21"/>
      <c r="ML91" s="21"/>
      <c r="MM91" s="21"/>
      <c r="MN91" s="21"/>
      <c r="MO91" s="21"/>
      <c r="MP91" s="21"/>
      <c r="MQ91" s="21"/>
      <c r="MR91" s="21"/>
      <c r="MS91" s="21"/>
      <c r="MT91" s="21"/>
      <c r="MU91" s="21"/>
      <c r="MV91" s="168">
        <v>1533192</v>
      </c>
      <c r="MW91" s="168">
        <v>15233227</v>
      </c>
      <c r="MX91" s="168">
        <v>11511941</v>
      </c>
      <c r="MY91" s="168">
        <v>71918867</v>
      </c>
      <c r="MZ91" s="168">
        <v>49415315</v>
      </c>
      <c r="NA91" s="168">
        <v>4163081</v>
      </c>
      <c r="NB91" s="168">
        <v>4092189</v>
      </c>
      <c r="NC91" s="168">
        <v>3448700</v>
      </c>
      <c r="ND91" s="168">
        <v>1333488</v>
      </c>
      <c r="NE91" s="21"/>
      <c r="NF91" s="21"/>
      <c r="NG91" s="168">
        <v>183208129</v>
      </c>
      <c r="NH91" s="168">
        <v>157265412</v>
      </c>
      <c r="NI91" s="21"/>
      <c r="NJ91" s="21"/>
      <c r="NK91" s="168">
        <v>8194511</v>
      </c>
      <c r="NL91" s="168">
        <v>109766</v>
      </c>
      <c r="NM91" s="168">
        <v>323158447</v>
      </c>
      <c r="NN91" s="168">
        <v>235373853</v>
      </c>
      <c r="NO91" s="168">
        <v>542112332</v>
      </c>
      <c r="NP91" s="168">
        <v>409991649</v>
      </c>
      <c r="NQ91" s="168" t="s">
        <v>1197</v>
      </c>
      <c r="NR91" s="168" t="s">
        <v>775</v>
      </c>
      <c r="NS91" s="168" t="s">
        <v>770</v>
      </c>
      <c r="NT91" s="168" t="s">
        <v>771</v>
      </c>
      <c r="NU91" s="168">
        <v>1101</v>
      </c>
      <c r="NV91" s="168" t="s">
        <v>2104</v>
      </c>
      <c r="NW91" s="168" t="s">
        <v>28</v>
      </c>
      <c r="NX91" s="168" t="s">
        <v>25</v>
      </c>
      <c r="NY91" s="169">
        <v>42916</v>
      </c>
      <c r="NZ91" s="169">
        <v>42551</v>
      </c>
      <c r="OA91" s="169">
        <v>43123</v>
      </c>
      <c r="OB91" s="168" t="s">
        <v>1198</v>
      </c>
      <c r="OC91" s="168">
        <v>12</v>
      </c>
      <c r="OD91" s="168" t="s">
        <v>2105</v>
      </c>
      <c r="OE91" s="168" t="s">
        <v>2164</v>
      </c>
      <c r="OF91" s="168" t="s">
        <v>2364</v>
      </c>
      <c r="OG91" s="168" t="s">
        <v>1919</v>
      </c>
      <c r="OH91" s="168" t="s">
        <v>973</v>
      </c>
      <c r="OI91" s="168" t="s">
        <v>766</v>
      </c>
      <c r="OJ91" s="168" t="s">
        <v>3240</v>
      </c>
      <c r="OK91" s="168" t="s">
        <v>773</v>
      </c>
    </row>
    <row r="92" spans="1:401" x14ac:dyDescent="0.2">
      <c r="A92" s="170" t="str">
        <f>Liste[[#This Row],[Siren]]</f>
        <v>442365375</v>
      </c>
      <c r="B92" s="198" t="str">
        <f>Liste[[#This Row],[Dénomination]]&amp;" - comptes "&amp;YEAR(Liste[[#This Row],[Date de cloture de l''exercice]])</f>
        <v>VIDIS - comptes 2017</v>
      </c>
      <c r="C92" s="21"/>
      <c r="D92" s="21"/>
      <c r="E92" s="21"/>
      <c r="F92" s="168">
        <v>1227503</v>
      </c>
      <c r="G92" s="168">
        <v>1187549</v>
      </c>
      <c r="H92" s="21"/>
      <c r="I92" s="21"/>
      <c r="J92" s="168">
        <v>19167316</v>
      </c>
      <c r="K92" s="168">
        <v>19941541</v>
      </c>
      <c r="L92" s="21"/>
      <c r="M92" s="21"/>
      <c r="N92" s="168">
        <v>2331779</v>
      </c>
      <c r="O92" s="168">
        <v>2328825</v>
      </c>
      <c r="P92" s="21"/>
      <c r="Q92" s="21"/>
      <c r="R92" s="168">
        <v>59882</v>
      </c>
      <c r="S92" s="168">
        <v>4652001</v>
      </c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168">
        <v>937114</v>
      </c>
      <c r="BE92" s="168">
        <v>760592</v>
      </c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168">
        <v>1894342</v>
      </c>
      <c r="BY92" s="168">
        <v>2570486</v>
      </c>
      <c r="BZ92" s="21"/>
      <c r="CA92" s="21"/>
      <c r="CB92" s="21"/>
      <c r="CC92" s="21"/>
      <c r="CD92" s="21"/>
      <c r="CE92" s="168">
        <v>5121796</v>
      </c>
      <c r="CF92" s="168">
        <v>473269</v>
      </c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168">
        <v>21558977</v>
      </c>
      <c r="EM92" s="168">
        <v>26922367</v>
      </c>
      <c r="EN92" s="21"/>
      <c r="EO92" s="21"/>
      <c r="EP92" s="168">
        <v>9792092</v>
      </c>
      <c r="EQ92" s="168">
        <v>10279199</v>
      </c>
      <c r="ER92" s="21"/>
      <c r="ES92" s="21"/>
      <c r="ET92" s="168">
        <v>36711630</v>
      </c>
      <c r="EU92" s="168">
        <v>37914848</v>
      </c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168">
        <v>200726</v>
      </c>
      <c r="FG92" s="168">
        <v>206746</v>
      </c>
      <c r="FH92" s="21"/>
      <c r="FI92" s="168">
        <v>75025</v>
      </c>
      <c r="FJ92" s="168">
        <v>-139597</v>
      </c>
      <c r="FK92" s="21"/>
      <c r="FL92" s="21"/>
      <c r="FM92" s="21"/>
      <c r="FN92" s="21"/>
      <c r="FO92" s="21"/>
      <c r="FP92" s="21"/>
      <c r="FQ92" s="168">
        <v>95343</v>
      </c>
      <c r="FR92" s="168">
        <v>95343</v>
      </c>
      <c r="FS92" s="21"/>
      <c r="FT92" s="21"/>
      <c r="FU92" s="21"/>
      <c r="FV92" s="21"/>
      <c r="FW92" s="168">
        <v>229067</v>
      </c>
      <c r="FX92" s="168">
        <v>270722</v>
      </c>
      <c r="FY92" s="168">
        <v>14813</v>
      </c>
      <c r="FZ92" s="168">
        <v>10934</v>
      </c>
      <c r="GA92" s="21"/>
      <c r="GB92" s="21"/>
      <c r="GC92" s="21"/>
      <c r="GD92" s="21"/>
      <c r="GE92" s="21"/>
      <c r="GF92" s="21"/>
      <c r="GG92" s="21"/>
      <c r="GH92" s="21"/>
      <c r="GI92" s="21"/>
      <c r="GJ92" s="21"/>
      <c r="GK92" s="21"/>
      <c r="GL92" s="21"/>
      <c r="GM92" s="168">
        <v>1179012</v>
      </c>
      <c r="GN92" s="168">
        <v>1163046</v>
      </c>
      <c r="GO92" s="21"/>
      <c r="GP92" s="21"/>
      <c r="GQ92" s="21"/>
      <c r="GR92" s="21"/>
      <c r="GS92" s="21"/>
      <c r="GT92" s="21"/>
      <c r="GU92" s="168">
        <v>39253</v>
      </c>
      <c r="GV92" s="168">
        <v>720459</v>
      </c>
      <c r="GW92" s="168">
        <v>114278</v>
      </c>
      <c r="GX92" s="168">
        <v>580862</v>
      </c>
      <c r="GY92" s="21"/>
      <c r="GZ92" s="21"/>
      <c r="HA92" s="21"/>
      <c r="HB92" s="21"/>
      <c r="HC92" s="168">
        <v>3449808</v>
      </c>
      <c r="HD92" s="168">
        <v>3591587</v>
      </c>
      <c r="HE92" s="21"/>
      <c r="HF92" s="21"/>
      <c r="HG92" s="21"/>
      <c r="HH92" s="21"/>
      <c r="HI92" s="168">
        <v>439959</v>
      </c>
      <c r="HJ92" s="168">
        <v>519421</v>
      </c>
      <c r="HK92" s="21"/>
      <c r="HL92" s="21"/>
      <c r="HM92" s="21"/>
      <c r="HN92" s="21"/>
      <c r="HO92" s="21"/>
      <c r="HP92" s="21"/>
      <c r="HQ92" s="21"/>
      <c r="HR92" s="21"/>
      <c r="HS92" s="21"/>
      <c r="HT92" s="21"/>
      <c r="HU92" s="21"/>
      <c r="HV92" s="21"/>
      <c r="HW92" s="21"/>
      <c r="HX92" s="21"/>
      <c r="HY92" s="168">
        <v>87374</v>
      </c>
      <c r="HZ92" s="168">
        <v>138864</v>
      </c>
      <c r="IA92" s="21"/>
      <c r="IB92" s="21"/>
      <c r="IC92" s="21"/>
      <c r="ID92" s="21"/>
      <c r="IE92" s="168">
        <v>1099011</v>
      </c>
      <c r="IF92" s="168">
        <v>1094093</v>
      </c>
      <c r="IG92" s="21"/>
      <c r="IH92" s="21"/>
      <c r="II92" s="21"/>
      <c r="IJ92" s="21"/>
      <c r="IK92" s="21"/>
      <c r="IL92" s="21"/>
      <c r="IM92" s="21"/>
      <c r="IN92" s="21"/>
      <c r="IO92" s="21"/>
      <c r="IP92" s="21"/>
      <c r="IQ92" s="21"/>
      <c r="IR92" s="21"/>
      <c r="IS92" s="21"/>
      <c r="IT92" s="21"/>
      <c r="IU92" s="168">
        <v>1443210</v>
      </c>
      <c r="IV92" s="168">
        <v>1679642</v>
      </c>
      <c r="IW92" s="168">
        <v>1716946</v>
      </c>
      <c r="IX92" s="168">
        <v>2001655</v>
      </c>
      <c r="IY92" s="168">
        <v>-273736</v>
      </c>
      <c r="IZ92" s="168">
        <v>-322013</v>
      </c>
      <c r="JA92" s="168">
        <v>374908</v>
      </c>
      <c r="JB92" s="168">
        <v>485950</v>
      </c>
      <c r="JC92" s="21"/>
      <c r="JD92" s="21"/>
      <c r="JE92" s="21"/>
      <c r="JF92" s="21"/>
      <c r="JG92" s="168">
        <v>98113</v>
      </c>
      <c r="JH92" s="168">
        <v>63455</v>
      </c>
      <c r="JI92" s="168">
        <v>61733971</v>
      </c>
      <c r="JJ92" s="168">
        <v>59833691</v>
      </c>
      <c r="JK92" s="168">
        <v>285698</v>
      </c>
      <c r="JL92" s="168">
        <v>336017</v>
      </c>
      <c r="JM92" s="168">
        <v>912980</v>
      </c>
      <c r="JN92" s="168">
        <v>1068826</v>
      </c>
      <c r="JO92" s="168">
        <v>11962</v>
      </c>
      <c r="JP92" s="168">
        <v>14004</v>
      </c>
      <c r="JQ92" s="21"/>
      <c r="JR92" s="21"/>
      <c r="JS92" s="21"/>
      <c r="JT92" s="21"/>
      <c r="JU92" s="21"/>
      <c r="JV92" s="21"/>
      <c r="JW92" s="168">
        <v>62537937</v>
      </c>
      <c r="JX92" s="168">
        <v>60766520</v>
      </c>
      <c r="JY92" s="21"/>
      <c r="JZ92" s="21"/>
      <c r="KA92" s="21"/>
      <c r="KB92" s="21"/>
      <c r="KC92" s="21"/>
      <c r="KD92" s="21"/>
      <c r="KE92" s="21"/>
      <c r="KF92" s="21"/>
      <c r="KG92" s="21"/>
      <c r="KH92" s="21"/>
      <c r="KI92" s="168">
        <v>56086547</v>
      </c>
      <c r="KJ92" s="168">
        <v>54390062</v>
      </c>
      <c r="KK92" s="21"/>
      <c r="KL92" s="21"/>
      <c r="KM92" s="21"/>
      <c r="KN92" s="21"/>
      <c r="KO92" s="21"/>
      <c r="KP92" s="21"/>
      <c r="KQ92" s="168">
        <v>149877</v>
      </c>
      <c r="KR92" s="168">
        <v>151044</v>
      </c>
      <c r="KS92" s="21"/>
      <c r="KT92" s="21"/>
      <c r="KU92" s="21"/>
      <c r="KV92" s="21"/>
      <c r="KW92" s="21"/>
      <c r="KX92" s="21"/>
      <c r="KY92" s="21"/>
      <c r="KZ92" s="21"/>
      <c r="LA92" s="168">
        <v>38200</v>
      </c>
      <c r="LB92" s="168">
        <v>38200</v>
      </c>
      <c r="LC92" s="21"/>
      <c r="LD92" s="21"/>
      <c r="LE92" s="21"/>
      <c r="LF92" s="21"/>
      <c r="LG92" s="21"/>
      <c r="LH92" s="21"/>
      <c r="LI92" s="168">
        <v>2689479</v>
      </c>
      <c r="LJ92" s="168">
        <v>2489053</v>
      </c>
      <c r="LK92" s="168">
        <v>4282726</v>
      </c>
      <c r="LL92" s="168">
        <v>4302853</v>
      </c>
      <c r="LM92" s="168">
        <v>323337</v>
      </c>
      <c r="LN92" s="168">
        <v>144877</v>
      </c>
      <c r="LO92" s="21"/>
      <c r="LP92" s="21"/>
      <c r="LQ92" s="21"/>
      <c r="LR92" s="21"/>
      <c r="LS92" s="21"/>
      <c r="LT92" s="21"/>
      <c r="LU92" s="21"/>
      <c r="LV92" s="21"/>
      <c r="LW92" s="21"/>
      <c r="LX92" s="21"/>
      <c r="LY92" s="21"/>
      <c r="LZ92" s="21"/>
      <c r="MA92" s="21"/>
      <c r="MB92" s="21"/>
      <c r="MC92" s="168">
        <v>16477896</v>
      </c>
      <c r="MD92" s="168">
        <v>18507487</v>
      </c>
      <c r="ME92" s="21"/>
      <c r="MF92" s="21"/>
      <c r="MG92" s="21"/>
      <c r="MH92" s="21"/>
      <c r="MI92" s="21"/>
      <c r="MJ92" s="21"/>
      <c r="MK92" s="21"/>
      <c r="ML92" s="21"/>
      <c r="MM92" s="21"/>
      <c r="MN92" s="21"/>
      <c r="MO92" s="21"/>
      <c r="MP92" s="21"/>
      <c r="MQ92" s="21"/>
      <c r="MR92" s="21"/>
      <c r="MS92" s="21"/>
      <c r="MT92" s="21"/>
      <c r="MU92" s="21"/>
      <c r="MV92" s="21"/>
      <c r="MW92" s="168">
        <v>9919301</v>
      </c>
      <c r="MX92" s="168">
        <v>9336242</v>
      </c>
      <c r="MY92" s="21"/>
      <c r="MZ92" s="21"/>
      <c r="NA92" s="21"/>
      <c r="NB92" s="21"/>
      <c r="NC92" s="168">
        <v>1179012</v>
      </c>
      <c r="ND92" s="168">
        <v>1163046</v>
      </c>
      <c r="NE92" s="21"/>
      <c r="NF92" s="21"/>
      <c r="NG92" s="168">
        <v>11136513</v>
      </c>
      <c r="NH92" s="168">
        <v>10537488</v>
      </c>
      <c r="NI92" s="21"/>
      <c r="NJ92" s="21"/>
      <c r="NK92" s="21"/>
      <c r="NL92" s="21"/>
      <c r="NM92" s="168">
        <v>23923315</v>
      </c>
      <c r="NN92" s="168">
        <v>25595314</v>
      </c>
      <c r="NO92" s="168">
        <v>36711630</v>
      </c>
      <c r="NP92" s="168">
        <v>37914848</v>
      </c>
      <c r="NQ92" s="168" t="s">
        <v>1099</v>
      </c>
      <c r="NR92" s="168" t="s">
        <v>823</v>
      </c>
      <c r="NS92" s="168" t="s">
        <v>770</v>
      </c>
      <c r="NT92" s="168" t="s">
        <v>771</v>
      </c>
      <c r="NU92" s="168">
        <v>5101</v>
      </c>
      <c r="NV92" s="168" t="s">
        <v>2104</v>
      </c>
      <c r="NW92" s="168" t="s">
        <v>28</v>
      </c>
      <c r="NX92" s="168" t="s">
        <v>25</v>
      </c>
      <c r="NY92" s="169">
        <v>42886</v>
      </c>
      <c r="NZ92" s="169">
        <v>42521</v>
      </c>
      <c r="OA92" s="169">
        <v>43098</v>
      </c>
      <c r="OB92" s="168" t="s">
        <v>1100</v>
      </c>
      <c r="OC92" s="168">
        <v>12</v>
      </c>
      <c r="OD92" s="168" t="s">
        <v>2106</v>
      </c>
      <c r="OE92" s="168" t="s">
        <v>2286</v>
      </c>
      <c r="OF92" s="168" t="s">
        <v>2290</v>
      </c>
      <c r="OG92" s="168" t="s">
        <v>1879</v>
      </c>
      <c r="OH92" s="168" t="s">
        <v>900</v>
      </c>
      <c r="OI92" s="168" t="s">
        <v>766</v>
      </c>
      <c r="OJ92" s="168" t="s">
        <v>3240</v>
      </c>
      <c r="OK92" s="168" t="s">
        <v>822</v>
      </c>
    </row>
    <row r="93" spans="1:401" x14ac:dyDescent="0.2">
      <c r="A93" s="170" t="str">
        <f>Liste[[#This Row],[Siren]]</f>
        <v>519970784</v>
      </c>
      <c r="B93" s="198" t="str">
        <f>Liste[[#This Row],[Dénomination]]&amp;" - comptes "&amp;YEAR(Liste[[#This Row],[Date de cloture de l''exercice]])</f>
        <v>EDICE - comptes 2017</v>
      </c>
      <c r="C93" s="21"/>
      <c r="D93" s="21"/>
      <c r="E93" s="21"/>
      <c r="F93" s="168">
        <v>2853312</v>
      </c>
      <c r="G93" s="168">
        <v>2635457</v>
      </c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168">
        <v>114223</v>
      </c>
      <c r="BE93" s="168">
        <v>136206</v>
      </c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168">
        <v>8137467</v>
      </c>
      <c r="BY93" s="168">
        <v>7564824</v>
      </c>
      <c r="BZ93" s="21"/>
      <c r="CA93" s="21"/>
      <c r="CB93" s="21"/>
      <c r="CC93" s="21"/>
      <c r="CD93" s="21"/>
      <c r="CE93" s="168">
        <v>949342</v>
      </c>
      <c r="CF93" s="168">
        <v>1008676</v>
      </c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168">
        <v>57746100</v>
      </c>
      <c r="EM93" s="168">
        <v>59036315</v>
      </c>
      <c r="EN93" s="21"/>
      <c r="EO93" s="21"/>
      <c r="EP93" s="168">
        <v>25939948</v>
      </c>
      <c r="EQ93" s="168">
        <v>25100221</v>
      </c>
      <c r="ER93" s="21"/>
      <c r="ES93" s="21"/>
      <c r="ET93" s="168">
        <v>83686048</v>
      </c>
      <c r="EU93" s="168">
        <v>84136536</v>
      </c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168">
        <v>6054632</v>
      </c>
      <c r="FG93" s="168">
        <v>6001366</v>
      </c>
      <c r="FH93" s="21"/>
      <c r="FI93" s="21"/>
      <c r="FJ93" s="21"/>
      <c r="FK93" s="21"/>
      <c r="FL93" s="21"/>
      <c r="FM93" s="21"/>
      <c r="FN93" s="21"/>
      <c r="FO93" s="21"/>
      <c r="FP93" s="21"/>
      <c r="FQ93" s="168">
        <v>59334</v>
      </c>
      <c r="FR93" s="168">
        <v>59334</v>
      </c>
      <c r="FS93" s="21"/>
      <c r="FT93" s="21"/>
      <c r="FU93" s="168">
        <v>-27760</v>
      </c>
      <c r="FV93" s="168">
        <v>-17036</v>
      </c>
      <c r="FW93" s="168">
        <v>1879478</v>
      </c>
      <c r="FX93" s="168">
        <v>1879292</v>
      </c>
      <c r="FY93" s="168">
        <v>10658</v>
      </c>
      <c r="FZ93" s="168">
        <v>11236</v>
      </c>
      <c r="GA93" s="21"/>
      <c r="GB93" s="21"/>
      <c r="GC93" s="21"/>
      <c r="GD93" s="21"/>
      <c r="GE93" s="21"/>
      <c r="GF93" s="21"/>
      <c r="GG93" s="21"/>
      <c r="GH93" s="21"/>
      <c r="GI93" s="21"/>
      <c r="GJ93" s="21"/>
      <c r="GK93" s="21"/>
      <c r="GL93" s="21"/>
      <c r="GM93" s="168">
        <v>4093460</v>
      </c>
      <c r="GN93" s="168">
        <v>4333588</v>
      </c>
      <c r="GO93" s="168">
        <v>4152794</v>
      </c>
      <c r="GP93" s="168">
        <v>4392922</v>
      </c>
      <c r="GQ93" s="21"/>
      <c r="GR93" s="21"/>
      <c r="GS93" s="168">
        <v>4082802</v>
      </c>
      <c r="GT93" s="168">
        <v>4322352</v>
      </c>
      <c r="GU93" s="21"/>
      <c r="GV93" s="21"/>
      <c r="GW93" s="21"/>
      <c r="GX93" s="21"/>
      <c r="GY93" s="21"/>
      <c r="GZ93" s="21"/>
      <c r="HA93" s="21"/>
      <c r="HB93" s="21"/>
      <c r="HC93" s="21"/>
      <c r="HD93" s="21"/>
      <c r="HE93" s="168">
        <v>5414381</v>
      </c>
      <c r="HF93" s="168">
        <v>5360474</v>
      </c>
      <c r="HG93" s="21"/>
      <c r="HH93" s="21"/>
      <c r="HI93" s="168">
        <v>499996</v>
      </c>
      <c r="HJ93" s="168">
        <v>524049</v>
      </c>
      <c r="HK93" s="21"/>
      <c r="HL93" s="21"/>
      <c r="HM93" s="21"/>
      <c r="HN93" s="21"/>
      <c r="HO93" s="21"/>
      <c r="HP93" s="21"/>
      <c r="HQ93" s="21"/>
      <c r="HR93" s="21"/>
      <c r="HS93" s="21"/>
      <c r="HT93" s="21"/>
      <c r="HU93" s="21"/>
      <c r="HV93" s="21"/>
      <c r="HW93" s="21"/>
      <c r="HX93" s="21"/>
      <c r="HY93" s="21"/>
      <c r="HZ93" s="21"/>
      <c r="IA93" s="21"/>
      <c r="IB93" s="21"/>
      <c r="IC93" s="21"/>
      <c r="ID93" s="21"/>
      <c r="IE93" s="168">
        <v>1489793</v>
      </c>
      <c r="IF93" s="168">
        <v>1526763</v>
      </c>
      <c r="IG93" s="21"/>
      <c r="IH93" s="21"/>
      <c r="II93" s="21"/>
      <c r="IJ93" s="21"/>
      <c r="IK93" s="21"/>
      <c r="IL93" s="21"/>
      <c r="IM93" s="21"/>
      <c r="IN93" s="21"/>
      <c r="IO93" s="21"/>
      <c r="IP93" s="21"/>
      <c r="IQ93" s="21"/>
      <c r="IR93" s="21"/>
      <c r="IS93" s="21"/>
      <c r="IT93" s="21"/>
      <c r="IU93" s="168">
        <v>6013427</v>
      </c>
      <c r="IV93" s="168">
        <v>6316232</v>
      </c>
      <c r="IW93" s="168">
        <v>6297190</v>
      </c>
      <c r="IX93" s="168">
        <v>6491559</v>
      </c>
      <c r="IY93" s="168">
        <v>-283763</v>
      </c>
      <c r="IZ93" s="168">
        <v>-175327</v>
      </c>
      <c r="JA93" s="21"/>
      <c r="JB93" s="21"/>
      <c r="JC93" s="21"/>
      <c r="JD93" s="21"/>
      <c r="JE93" s="168">
        <v>9890806</v>
      </c>
      <c r="JF93" s="168">
        <v>9865814</v>
      </c>
      <c r="JG93" s="21"/>
      <c r="JH93" s="21"/>
      <c r="JI93" s="168">
        <v>103150725</v>
      </c>
      <c r="JJ93" s="168">
        <v>104435620</v>
      </c>
      <c r="JK93" s="21"/>
      <c r="JL93" s="21"/>
      <c r="JM93" s="168">
        <v>109447915</v>
      </c>
      <c r="JN93" s="168">
        <v>110927179</v>
      </c>
      <c r="JO93" s="21"/>
      <c r="JP93" s="21"/>
      <c r="JQ93" s="21"/>
      <c r="JR93" s="21"/>
      <c r="JS93" s="21"/>
      <c r="JT93" s="21"/>
      <c r="JU93" s="21"/>
      <c r="JV93" s="21"/>
      <c r="JW93" s="168">
        <v>108947919</v>
      </c>
      <c r="JX93" s="168">
        <v>110403130</v>
      </c>
      <c r="JY93" s="21"/>
      <c r="JZ93" s="21"/>
      <c r="KA93" s="21"/>
      <c r="KB93" s="21"/>
      <c r="KC93" s="21"/>
      <c r="KD93" s="21"/>
      <c r="KE93" s="21"/>
      <c r="KF93" s="21"/>
      <c r="KG93" s="21"/>
      <c r="KH93" s="21"/>
      <c r="KI93" s="21"/>
      <c r="KJ93" s="21"/>
      <c r="KK93" s="21"/>
      <c r="KL93" s="21"/>
      <c r="KM93" s="21"/>
      <c r="KN93" s="21"/>
      <c r="KO93" s="21"/>
      <c r="KP93" s="21"/>
      <c r="KQ93" s="21"/>
      <c r="KR93" s="21"/>
      <c r="KS93" s="21"/>
      <c r="KT93" s="21"/>
      <c r="KU93" s="21"/>
      <c r="KV93" s="21"/>
      <c r="KW93" s="21"/>
      <c r="KX93" s="21"/>
      <c r="KY93" s="21"/>
      <c r="KZ93" s="21"/>
      <c r="LA93" s="168">
        <v>10000</v>
      </c>
      <c r="LB93" s="168">
        <v>10000</v>
      </c>
      <c r="LC93" s="21"/>
      <c r="LD93" s="21"/>
      <c r="LE93" s="21"/>
      <c r="LF93" s="21"/>
      <c r="LG93" s="21"/>
      <c r="LH93" s="21"/>
      <c r="LI93" s="21"/>
      <c r="LJ93" s="21"/>
      <c r="LK93" s="168">
        <v>8292714</v>
      </c>
      <c r="LL93" s="168">
        <v>8481717</v>
      </c>
      <c r="LM93" s="21"/>
      <c r="LN93" s="21"/>
      <c r="LO93" s="21"/>
      <c r="LP93" s="21"/>
      <c r="LQ93" s="21"/>
      <c r="LR93" s="21"/>
      <c r="LS93" s="21"/>
      <c r="LT93" s="21"/>
      <c r="LU93" s="21"/>
      <c r="LV93" s="21"/>
      <c r="LW93" s="21"/>
      <c r="LX93" s="21"/>
      <c r="LY93" s="21"/>
      <c r="LZ93" s="21"/>
      <c r="MA93" s="21"/>
      <c r="MB93" s="21"/>
      <c r="MC93" s="168">
        <v>45379554</v>
      </c>
      <c r="MD93" s="168">
        <v>49158417</v>
      </c>
      <c r="ME93" s="21"/>
      <c r="MF93" s="21"/>
      <c r="MG93" s="21"/>
      <c r="MH93" s="21"/>
      <c r="MI93" s="21"/>
      <c r="MJ93" s="21"/>
      <c r="MK93" s="21"/>
      <c r="ML93" s="21"/>
      <c r="MM93" s="21"/>
      <c r="MN93" s="21"/>
      <c r="MO93" s="21"/>
      <c r="MP93" s="21"/>
      <c r="MQ93" s="21"/>
      <c r="MR93" s="21"/>
      <c r="MS93" s="21"/>
      <c r="MT93" s="21"/>
      <c r="MU93" s="21"/>
      <c r="MV93" s="21"/>
      <c r="MW93" s="21"/>
      <c r="MX93" s="21"/>
      <c r="MY93" s="21"/>
      <c r="MZ93" s="21"/>
      <c r="NA93" s="21"/>
      <c r="NB93" s="21"/>
      <c r="NC93" s="168">
        <v>4082802</v>
      </c>
      <c r="ND93" s="168">
        <v>4322352</v>
      </c>
      <c r="NE93" s="21"/>
      <c r="NF93" s="21"/>
      <c r="NG93" s="168">
        <v>24238944</v>
      </c>
      <c r="NH93" s="168">
        <v>20856141</v>
      </c>
      <c r="NI93" s="21"/>
      <c r="NJ93" s="21"/>
      <c r="NK93" s="168">
        <v>146508</v>
      </c>
      <c r="NL93" s="168">
        <v>146772</v>
      </c>
      <c r="NM93" s="168">
        <v>58318612</v>
      </c>
      <c r="NN93" s="168">
        <v>62159726</v>
      </c>
      <c r="NO93" s="168">
        <v>83686048</v>
      </c>
      <c r="NP93" s="168">
        <v>84136536</v>
      </c>
      <c r="NQ93" s="168" t="s">
        <v>1204</v>
      </c>
      <c r="NR93" s="168" t="s">
        <v>769</v>
      </c>
      <c r="NS93" s="168" t="s">
        <v>770</v>
      </c>
      <c r="NT93" s="168" t="s">
        <v>771</v>
      </c>
      <c r="NU93" s="168">
        <v>8401</v>
      </c>
      <c r="NV93" s="168" t="s">
        <v>2104</v>
      </c>
      <c r="NW93" s="168" t="s">
        <v>28</v>
      </c>
      <c r="NX93" s="168" t="s">
        <v>25</v>
      </c>
      <c r="NY93" s="169">
        <v>42886</v>
      </c>
      <c r="NZ93" s="169">
        <v>42521</v>
      </c>
      <c r="OA93" s="169">
        <v>43123</v>
      </c>
      <c r="OB93" s="168" t="s">
        <v>3297</v>
      </c>
      <c r="OC93" s="168">
        <v>12</v>
      </c>
      <c r="OD93" s="168" t="s">
        <v>2105</v>
      </c>
      <c r="OE93" s="168" t="s">
        <v>2117</v>
      </c>
      <c r="OF93" s="168" t="s">
        <v>3298</v>
      </c>
      <c r="OG93" s="168" t="s">
        <v>3299</v>
      </c>
      <c r="OH93" s="168" t="s">
        <v>807</v>
      </c>
      <c r="OI93" s="168" t="s">
        <v>766</v>
      </c>
      <c r="OJ93" s="168" t="s">
        <v>3240</v>
      </c>
      <c r="OK93" s="168" t="s">
        <v>767</v>
      </c>
    </row>
    <row r="94" spans="1:401" x14ac:dyDescent="0.2">
      <c r="A94" s="170" t="str">
        <f>Liste[[#This Row],[Siren]]</f>
        <v>434972394</v>
      </c>
      <c r="B94" s="198" t="str">
        <f>Liste[[#This Row],[Dénomination]]&amp;" - comptes "&amp;YEAR(Liste[[#This Row],[Date de cloture de l''exercice]])</f>
        <v>SODISER - comptes 2017</v>
      </c>
      <c r="C94" s="21"/>
      <c r="D94" s="21"/>
      <c r="E94" s="168">
        <v>13000</v>
      </c>
      <c r="F94" s="168">
        <v>928000</v>
      </c>
      <c r="G94" s="168">
        <v>896000</v>
      </c>
      <c r="H94" s="168">
        <v>942000</v>
      </c>
      <c r="I94" s="168">
        <v>389000</v>
      </c>
      <c r="J94" s="168">
        <v>49000</v>
      </c>
      <c r="K94" s="168">
        <v>40000</v>
      </c>
      <c r="L94" s="168">
        <v>438000</v>
      </c>
      <c r="M94" s="21"/>
      <c r="N94" s="168">
        <v>48000</v>
      </c>
      <c r="O94" s="168">
        <v>58000</v>
      </c>
      <c r="P94" s="168">
        <v>48000</v>
      </c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168">
        <v>57000</v>
      </c>
      <c r="AM94" s="168">
        <v>139000</v>
      </c>
      <c r="AN94" s="168">
        <v>57000</v>
      </c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168">
        <v>189000</v>
      </c>
      <c r="BA94" s="168">
        <v>277000</v>
      </c>
      <c r="BB94" s="168">
        <v>189000</v>
      </c>
      <c r="BC94" s="168">
        <v>4000</v>
      </c>
      <c r="BD94" s="168">
        <v>211000</v>
      </c>
      <c r="BE94" s="168">
        <v>282000</v>
      </c>
      <c r="BF94" s="168">
        <v>215000</v>
      </c>
      <c r="BG94" s="168">
        <v>72000</v>
      </c>
      <c r="BH94" s="168">
        <v>11000</v>
      </c>
      <c r="BI94" s="168">
        <v>11000</v>
      </c>
      <c r="BJ94" s="168">
        <v>83000</v>
      </c>
      <c r="BK94" s="168">
        <v>6306000</v>
      </c>
      <c r="BL94" s="168">
        <v>3587000</v>
      </c>
      <c r="BM94" s="168">
        <v>4016000</v>
      </c>
      <c r="BN94" s="168">
        <v>9893000</v>
      </c>
      <c r="BO94" s="21"/>
      <c r="BP94" s="168">
        <v>721000</v>
      </c>
      <c r="BQ94" s="168">
        <v>983000</v>
      </c>
      <c r="BR94" s="168">
        <v>721000</v>
      </c>
      <c r="BS94" s="21"/>
      <c r="BT94" s="21"/>
      <c r="BU94" s="21"/>
      <c r="BV94" s="21"/>
      <c r="BW94" s="21"/>
      <c r="BX94" s="168">
        <v>935000</v>
      </c>
      <c r="BY94" s="168">
        <v>396000</v>
      </c>
      <c r="BZ94" s="168">
        <v>935000</v>
      </c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168">
        <v>1919000</v>
      </c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168">
        <v>714000</v>
      </c>
      <c r="DG94" s="168">
        <v>122000</v>
      </c>
      <c r="DH94" s="168">
        <v>104000</v>
      </c>
      <c r="DI94" s="168">
        <v>837000</v>
      </c>
      <c r="DJ94" s="168">
        <v>154000</v>
      </c>
      <c r="DK94" s="168">
        <v>4572000</v>
      </c>
      <c r="DL94" s="168">
        <v>4538000</v>
      </c>
      <c r="DM94" s="168">
        <v>4726000</v>
      </c>
      <c r="DN94" s="21"/>
      <c r="DO94" s="168">
        <v>3000</v>
      </c>
      <c r="DP94" s="168">
        <v>1000</v>
      </c>
      <c r="DQ94" s="168">
        <v>3000</v>
      </c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168">
        <v>12540000</v>
      </c>
      <c r="EL94" s="168">
        <v>9836000</v>
      </c>
      <c r="EM94" s="168">
        <v>10723000</v>
      </c>
      <c r="EN94" s="168">
        <v>22375000</v>
      </c>
      <c r="EO94" s="168">
        <v>171000</v>
      </c>
      <c r="EP94" s="168">
        <v>6897000</v>
      </c>
      <c r="EQ94" s="168">
        <v>6528000</v>
      </c>
      <c r="ER94" s="168">
        <v>7068000</v>
      </c>
      <c r="ES94" s="168">
        <v>12710000</v>
      </c>
      <c r="ET94" s="168">
        <v>16733000</v>
      </c>
      <c r="EU94" s="168">
        <v>17251000</v>
      </c>
      <c r="EV94" s="168">
        <v>29443000</v>
      </c>
      <c r="EW94" s="21"/>
      <c r="EX94" s="168">
        <v>1279000</v>
      </c>
      <c r="EY94" s="168">
        <v>1279000</v>
      </c>
      <c r="EZ94" s="168">
        <v>1279000</v>
      </c>
      <c r="FA94" s="21"/>
      <c r="FB94" s="21"/>
      <c r="FC94" s="21"/>
      <c r="FD94" s="21"/>
      <c r="FE94" s="21"/>
      <c r="FF94" s="21"/>
      <c r="FG94" s="21"/>
      <c r="FH94" s="21"/>
      <c r="FI94" s="168">
        <v>123000</v>
      </c>
      <c r="FJ94" s="168">
        <v>27000</v>
      </c>
      <c r="FK94" s="21"/>
      <c r="FL94" s="21"/>
      <c r="FM94" s="168">
        <v>96000</v>
      </c>
      <c r="FN94" s="168">
        <v>73000</v>
      </c>
      <c r="FO94" s="21"/>
      <c r="FP94" s="21"/>
      <c r="FQ94" s="21"/>
      <c r="FR94" s="21"/>
      <c r="FS94" s="21"/>
      <c r="FT94" s="21"/>
      <c r="FU94" s="168">
        <v>-71000</v>
      </c>
      <c r="FV94" s="168">
        <v>-24000</v>
      </c>
      <c r="FW94" s="168">
        <v>220000</v>
      </c>
      <c r="FX94" s="168">
        <v>115000</v>
      </c>
      <c r="FY94" s="168">
        <v>4000</v>
      </c>
      <c r="FZ94" s="168">
        <v>3000</v>
      </c>
      <c r="GA94" s="21"/>
      <c r="GB94" s="21"/>
      <c r="GC94" s="168">
        <v>135000</v>
      </c>
      <c r="GD94" s="168">
        <v>34000</v>
      </c>
      <c r="GE94" s="21"/>
      <c r="GF94" s="21"/>
      <c r="GG94" s="21"/>
      <c r="GH94" s="21"/>
      <c r="GI94" s="21"/>
      <c r="GJ94" s="21"/>
      <c r="GK94" s="168">
        <v>494000</v>
      </c>
      <c r="GL94" s="168">
        <v>66000</v>
      </c>
      <c r="GM94" s="168">
        <v>1107000</v>
      </c>
      <c r="GN94" s="168">
        <v>678000</v>
      </c>
      <c r="GO94" s="168">
        <v>1107000</v>
      </c>
      <c r="GP94" s="168">
        <v>678000</v>
      </c>
      <c r="GQ94" s="21"/>
      <c r="GR94" s="21"/>
      <c r="GS94" s="168">
        <v>1103000</v>
      </c>
      <c r="GT94" s="168">
        <v>676000</v>
      </c>
      <c r="GU94" s="168">
        <v>503000</v>
      </c>
      <c r="GV94" s="168">
        <v>73000</v>
      </c>
      <c r="GW94" s="168">
        <v>629000</v>
      </c>
      <c r="GX94" s="168">
        <v>100000</v>
      </c>
      <c r="GY94" s="168">
        <v>34358000</v>
      </c>
      <c r="GZ94" s="168">
        <v>31741000</v>
      </c>
      <c r="HA94" s="21"/>
      <c r="HB94" s="21"/>
      <c r="HC94" s="168">
        <v>2900000</v>
      </c>
      <c r="HD94" s="168">
        <v>2750000</v>
      </c>
      <c r="HE94" s="168">
        <v>16000</v>
      </c>
      <c r="HF94" s="168">
        <v>10000</v>
      </c>
      <c r="HG94" s="21"/>
      <c r="HH94" s="21"/>
      <c r="HI94" s="168">
        <v>40000</v>
      </c>
      <c r="HJ94" s="168">
        <v>64000</v>
      </c>
      <c r="HK94" s="21"/>
      <c r="HL94" s="21"/>
      <c r="HM94" s="21"/>
      <c r="HN94" s="21"/>
      <c r="HO94" s="168">
        <v>1137000</v>
      </c>
      <c r="HP94" s="168">
        <v>1045000</v>
      </c>
      <c r="HQ94" s="21"/>
      <c r="HR94" s="21"/>
      <c r="HS94" s="21"/>
      <c r="HT94" s="21"/>
      <c r="HU94" s="21"/>
      <c r="HV94" s="21"/>
      <c r="HW94" s="21"/>
      <c r="HX94" s="21"/>
      <c r="HY94" s="21"/>
      <c r="HZ94" s="21"/>
      <c r="IA94" s="21"/>
      <c r="IB94" s="21"/>
      <c r="IC94" s="21"/>
      <c r="ID94" s="21"/>
      <c r="IE94" s="168">
        <v>724000</v>
      </c>
      <c r="IF94" s="168">
        <v>617000</v>
      </c>
      <c r="IG94" s="168">
        <v>160000</v>
      </c>
      <c r="IH94" s="168">
        <v>174000</v>
      </c>
      <c r="II94" s="21"/>
      <c r="IJ94" s="21"/>
      <c r="IK94" s="21"/>
      <c r="IL94" s="21"/>
      <c r="IM94" s="21"/>
      <c r="IN94" s="21"/>
      <c r="IO94" s="21"/>
      <c r="IP94" s="21"/>
      <c r="IQ94" s="168">
        <v>1000</v>
      </c>
      <c r="IR94" s="168">
        <v>1000</v>
      </c>
      <c r="IS94" s="21"/>
      <c r="IT94" s="21"/>
      <c r="IU94" s="168">
        <v>1309000</v>
      </c>
      <c r="IV94" s="168">
        <v>742000</v>
      </c>
      <c r="IW94" s="168">
        <v>1221000</v>
      </c>
      <c r="IX94" s="168">
        <v>837000</v>
      </c>
      <c r="IY94" s="168">
        <v>88000</v>
      </c>
      <c r="IZ94" s="168">
        <v>-95000</v>
      </c>
      <c r="JA94" s="168">
        <v>148000</v>
      </c>
      <c r="JB94" s="168">
        <v>205000</v>
      </c>
      <c r="JC94" s="21"/>
      <c r="JD94" s="21"/>
      <c r="JE94" s="168">
        <v>3771000</v>
      </c>
      <c r="JF94" s="168">
        <v>3503000</v>
      </c>
      <c r="JG94" s="168">
        <v>45000</v>
      </c>
      <c r="JH94" s="168">
        <v>31000</v>
      </c>
      <c r="JI94" s="168">
        <v>43916000</v>
      </c>
      <c r="JJ94" s="168">
        <v>40652000</v>
      </c>
      <c r="JK94" s="168">
        <v>160000</v>
      </c>
      <c r="JL94" s="168">
        <v>174000</v>
      </c>
      <c r="JM94" s="168">
        <v>45138000</v>
      </c>
      <c r="JN94" s="168">
        <v>41489000</v>
      </c>
      <c r="JO94" s="168">
        <v>72000</v>
      </c>
      <c r="JP94" s="168">
        <v>79000</v>
      </c>
      <c r="JQ94" s="168">
        <v>-60000</v>
      </c>
      <c r="JR94" s="168">
        <v>63000</v>
      </c>
      <c r="JS94" s="21"/>
      <c r="JT94" s="21"/>
      <c r="JU94" s="21"/>
      <c r="JV94" s="21"/>
      <c r="JW94" s="168">
        <v>44904000</v>
      </c>
      <c r="JX94" s="168">
        <v>41189000</v>
      </c>
      <c r="JY94" s="21"/>
      <c r="JZ94" s="21"/>
      <c r="KA94" s="21"/>
      <c r="KB94" s="21"/>
      <c r="KC94" s="21"/>
      <c r="KD94" s="21"/>
      <c r="KE94" s="21"/>
      <c r="KF94" s="21"/>
      <c r="KG94" s="21"/>
      <c r="KH94" s="21"/>
      <c r="KI94" s="21"/>
      <c r="KJ94" s="21"/>
      <c r="KK94" s="21"/>
      <c r="KL94" s="21"/>
      <c r="KM94" s="21"/>
      <c r="KN94" s="21"/>
      <c r="KO94" s="21"/>
      <c r="KP94" s="21"/>
      <c r="KQ94" s="168">
        <v>5000</v>
      </c>
      <c r="KR94" s="168">
        <v>2000</v>
      </c>
      <c r="KS94" s="21"/>
      <c r="KT94" s="21"/>
      <c r="KU94" s="21"/>
      <c r="KV94" s="21"/>
      <c r="KW94" s="21"/>
      <c r="KX94" s="21"/>
      <c r="KY94" s="168">
        <v>75000</v>
      </c>
      <c r="KZ94" s="168">
        <v>49000</v>
      </c>
      <c r="LA94" s="168">
        <v>38000</v>
      </c>
      <c r="LB94" s="168">
        <v>38000</v>
      </c>
      <c r="LC94" s="168">
        <v>20000</v>
      </c>
      <c r="LD94" s="168">
        <v>17000</v>
      </c>
      <c r="LE94" s="168">
        <v>4000</v>
      </c>
      <c r="LF94" s="168">
        <v>3000</v>
      </c>
      <c r="LG94" s="21"/>
      <c r="LH94" s="21"/>
      <c r="LI94" s="168">
        <v>1562000</v>
      </c>
      <c r="LJ94" s="168">
        <v>1529000</v>
      </c>
      <c r="LK94" s="168">
        <v>3410000</v>
      </c>
      <c r="LL94" s="168">
        <v>3493000</v>
      </c>
      <c r="LM94" s="168">
        <v>175000</v>
      </c>
      <c r="LN94" s="168">
        <v>181000</v>
      </c>
      <c r="LO94" s="21"/>
      <c r="LP94" s="21"/>
      <c r="LQ94" s="21"/>
      <c r="LR94" s="21"/>
      <c r="LS94" s="21"/>
      <c r="LT94" s="21"/>
      <c r="LU94" s="21"/>
      <c r="LV94" s="21"/>
      <c r="LW94" s="21"/>
      <c r="LX94" s="21"/>
      <c r="LY94" s="21"/>
      <c r="LZ94" s="21"/>
      <c r="MA94" s="168">
        <v>4668000</v>
      </c>
      <c r="MB94" s="168">
        <v>5835000</v>
      </c>
      <c r="MC94" s="168">
        <v>130000</v>
      </c>
      <c r="MD94" s="168">
        <v>191000</v>
      </c>
      <c r="ME94" s="21"/>
      <c r="MF94" s="21"/>
      <c r="MG94" s="168">
        <v>43000</v>
      </c>
      <c r="MH94" s="168">
        <v>114000</v>
      </c>
      <c r="MI94" s="21"/>
      <c r="MJ94" s="21"/>
      <c r="MK94" s="21"/>
      <c r="ML94" s="21"/>
      <c r="MM94" s="168">
        <v>98000</v>
      </c>
      <c r="MN94" s="168">
        <v>175000</v>
      </c>
      <c r="MO94" s="168">
        <v>308000</v>
      </c>
      <c r="MP94" s="168">
        <v>275000</v>
      </c>
      <c r="MQ94" s="168">
        <v>408000</v>
      </c>
      <c r="MR94" s="168">
        <v>464000</v>
      </c>
      <c r="MS94" s="21"/>
      <c r="MT94" s="21"/>
      <c r="MU94" s="21"/>
      <c r="MV94" s="21"/>
      <c r="MW94" s="21"/>
      <c r="MX94" s="21"/>
      <c r="MY94" s="21"/>
      <c r="MZ94" s="21"/>
      <c r="NA94" s="21"/>
      <c r="NB94" s="21"/>
      <c r="NC94" s="168">
        <v>1103000</v>
      </c>
      <c r="ND94" s="168">
        <v>676000</v>
      </c>
      <c r="NE94" s="21"/>
      <c r="NF94" s="21"/>
      <c r="NG94" s="168">
        <v>5824000</v>
      </c>
      <c r="NH94" s="168">
        <v>4924000</v>
      </c>
      <c r="NI94" s="21"/>
      <c r="NJ94" s="21"/>
      <c r="NK94" s="168">
        <v>25000</v>
      </c>
      <c r="NL94" s="168">
        <v>20000</v>
      </c>
      <c r="NM94" s="168">
        <v>10125000</v>
      </c>
      <c r="NN94" s="168">
        <v>11454000</v>
      </c>
      <c r="NO94" s="168">
        <v>16733000</v>
      </c>
      <c r="NP94" s="168">
        <v>17251000</v>
      </c>
      <c r="NQ94" s="168" t="s">
        <v>1023</v>
      </c>
      <c r="NR94" s="168" t="s">
        <v>804</v>
      </c>
      <c r="NS94" s="168" t="s">
        <v>770</v>
      </c>
      <c r="NT94" s="168" t="s">
        <v>771</v>
      </c>
      <c r="NU94" s="168">
        <v>2402</v>
      </c>
      <c r="NV94" s="168" t="s">
        <v>2104</v>
      </c>
      <c r="NW94" s="168" t="s">
        <v>28</v>
      </c>
      <c r="NX94" s="168" t="s">
        <v>25</v>
      </c>
      <c r="NY94" s="169">
        <v>42886</v>
      </c>
      <c r="NZ94" s="169">
        <v>42490</v>
      </c>
      <c r="OA94" s="169">
        <v>43125</v>
      </c>
      <c r="OB94" s="168" t="s">
        <v>3366</v>
      </c>
      <c r="OC94" s="168">
        <v>13</v>
      </c>
      <c r="OD94" s="168" t="s">
        <v>2105</v>
      </c>
      <c r="OE94" s="168" t="s">
        <v>2141</v>
      </c>
      <c r="OF94" s="168" t="s">
        <v>3367</v>
      </c>
      <c r="OG94" s="168" t="s">
        <v>3368</v>
      </c>
      <c r="OH94" s="168" t="s">
        <v>879</v>
      </c>
      <c r="OI94" s="168" t="s">
        <v>766</v>
      </c>
      <c r="OJ94" s="168" t="s">
        <v>3240</v>
      </c>
      <c r="OK94" s="168" t="s">
        <v>803</v>
      </c>
    </row>
    <row r="95" spans="1:401" x14ac:dyDescent="0.2">
      <c r="A95" s="170" t="str">
        <f>Liste[[#This Row],[Siren]]</f>
        <v>605520584</v>
      </c>
      <c r="B95" s="198" t="str">
        <f>Liste[[#This Row],[Dénomination]]&amp;" - comptes "&amp;YEAR(Liste[[#This Row],[Date de cloture de l''exercice]])</f>
        <v>COMPAGNIE DU MONT-BLANC - comptes 2017</v>
      </c>
      <c r="C95" s="21"/>
      <c r="D95" s="21"/>
      <c r="E95" s="21"/>
      <c r="F95" s="168">
        <v>2290000</v>
      </c>
      <c r="G95" s="168">
        <v>2462000</v>
      </c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168">
        <v>17730000</v>
      </c>
      <c r="CF95" s="168">
        <v>17309000</v>
      </c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168">
        <v>219835000</v>
      </c>
      <c r="EM95" s="168">
        <v>212543000</v>
      </c>
      <c r="EN95" s="21"/>
      <c r="EO95" s="21"/>
      <c r="EP95" s="168">
        <v>51963000</v>
      </c>
      <c r="EQ95" s="168">
        <v>48932000</v>
      </c>
      <c r="ER95" s="21"/>
      <c r="ES95" s="21"/>
      <c r="ET95" s="168">
        <v>271798000</v>
      </c>
      <c r="EU95" s="168">
        <v>261475000</v>
      </c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168">
        <v>-386000</v>
      </c>
      <c r="FZ95" s="168">
        <v>-2751000</v>
      </c>
      <c r="GA95" s="21"/>
      <c r="GB95" s="21"/>
      <c r="GC95" s="21"/>
      <c r="GD95" s="21"/>
      <c r="GE95" s="21"/>
      <c r="GF95" s="21"/>
      <c r="GG95" s="21"/>
      <c r="GH95" s="21"/>
      <c r="GI95" s="21"/>
      <c r="GJ95" s="21"/>
      <c r="GK95" s="21"/>
      <c r="GL95" s="21"/>
      <c r="GM95" s="168">
        <v>7978000</v>
      </c>
      <c r="GN95" s="168">
        <v>11590000</v>
      </c>
      <c r="GO95" s="168">
        <v>7978000</v>
      </c>
      <c r="GP95" s="168">
        <v>11590000</v>
      </c>
      <c r="GQ95" s="21"/>
      <c r="GR95" s="21"/>
      <c r="GS95" s="168">
        <v>7592000</v>
      </c>
      <c r="GT95" s="168">
        <v>8839000</v>
      </c>
      <c r="GU95" s="21"/>
      <c r="GV95" s="21"/>
      <c r="GW95" s="21"/>
      <c r="GX95" s="21"/>
      <c r="GY95" s="21"/>
      <c r="GZ95" s="21"/>
      <c r="HA95" s="21"/>
      <c r="HB95" s="21"/>
      <c r="HC95" s="21"/>
      <c r="HD95" s="21"/>
      <c r="HE95" s="168">
        <v>-885000</v>
      </c>
      <c r="HF95" s="168">
        <v>-1389000</v>
      </c>
      <c r="HG95" s="21"/>
      <c r="HH95" s="21"/>
      <c r="HI95" s="168">
        <v>23000</v>
      </c>
      <c r="HJ95" s="168">
        <v>29000</v>
      </c>
      <c r="HK95" s="21"/>
      <c r="HL95" s="21"/>
      <c r="HM95" s="21"/>
      <c r="HN95" s="21"/>
      <c r="HO95" s="21"/>
      <c r="HP95" s="21"/>
      <c r="HQ95" s="21"/>
      <c r="HR95" s="21"/>
      <c r="HS95" s="21"/>
      <c r="HT95" s="21"/>
      <c r="HU95" s="21"/>
      <c r="HV95" s="21"/>
      <c r="HW95" s="21"/>
      <c r="HX95" s="21"/>
      <c r="HY95" s="21"/>
      <c r="HZ95" s="21"/>
      <c r="IA95" s="21"/>
      <c r="IB95" s="21"/>
      <c r="IC95" s="21"/>
      <c r="ID95" s="21"/>
      <c r="IE95" s="168">
        <v>-7727000</v>
      </c>
      <c r="IF95" s="168">
        <v>-7118000</v>
      </c>
      <c r="IG95" s="21"/>
      <c r="IH95" s="21"/>
      <c r="II95" s="21"/>
      <c r="IJ95" s="21"/>
      <c r="IK95" s="21"/>
      <c r="IL95" s="21"/>
      <c r="IM95" s="21"/>
      <c r="IN95" s="21"/>
      <c r="IO95" s="21"/>
      <c r="IP95" s="21"/>
      <c r="IQ95" s="21"/>
      <c r="IR95" s="21"/>
      <c r="IS95" s="21"/>
      <c r="IT95" s="21"/>
      <c r="IU95" s="168">
        <v>13852000</v>
      </c>
      <c r="IV95" s="168">
        <v>18642000</v>
      </c>
      <c r="IW95" s="168">
        <v>13852000</v>
      </c>
      <c r="IX95" s="168">
        <v>18642000</v>
      </c>
      <c r="IY95" s="21"/>
      <c r="IZ95" s="21"/>
      <c r="JA95" s="21"/>
      <c r="JB95" s="21"/>
      <c r="JC95" s="21"/>
      <c r="JD95" s="21"/>
      <c r="JE95" s="21"/>
      <c r="JF95" s="21"/>
      <c r="JG95" s="21"/>
      <c r="JH95" s="21"/>
      <c r="JI95" s="168">
        <v>-59280000</v>
      </c>
      <c r="JJ95" s="168">
        <v>-58357000</v>
      </c>
      <c r="JK95" s="21"/>
      <c r="JL95" s="21"/>
      <c r="JM95" s="168">
        <v>93563000</v>
      </c>
      <c r="JN95" s="168">
        <v>93752000</v>
      </c>
      <c r="JO95" s="21"/>
      <c r="JP95" s="21"/>
      <c r="JQ95" s="21"/>
      <c r="JR95" s="21"/>
      <c r="JS95" s="21"/>
      <c r="JT95" s="21"/>
      <c r="JU95" s="21"/>
      <c r="JV95" s="21"/>
      <c r="JW95" s="168">
        <v>93540000</v>
      </c>
      <c r="JX95" s="168">
        <v>93723000</v>
      </c>
      <c r="JY95" s="21"/>
      <c r="JZ95" s="21"/>
      <c r="KA95" s="21"/>
      <c r="KB95" s="21"/>
      <c r="KC95" s="21"/>
      <c r="KD95" s="21"/>
      <c r="KE95" s="21"/>
      <c r="KF95" s="21"/>
      <c r="KG95" s="21"/>
      <c r="KH95" s="21"/>
      <c r="KI95" s="21"/>
      <c r="KJ95" s="21"/>
      <c r="KK95" s="21"/>
      <c r="KL95" s="21"/>
      <c r="KM95" s="21"/>
      <c r="KN95" s="21"/>
      <c r="KO95" s="21"/>
      <c r="KP95" s="21"/>
      <c r="KQ95" s="168">
        <v>20282000</v>
      </c>
      <c r="KR95" s="168">
        <v>16114000</v>
      </c>
      <c r="KS95" s="21"/>
      <c r="KT95" s="21"/>
      <c r="KU95" s="21"/>
      <c r="KV95" s="21"/>
      <c r="KW95" s="21"/>
      <c r="KX95" s="21"/>
      <c r="KY95" s="21"/>
      <c r="KZ95" s="21"/>
      <c r="LA95" s="168">
        <v>6885000</v>
      </c>
      <c r="LB95" s="168">
        <v>6885000</v>
      </c>
      <c r="LC95" s="21"/>
      <c r="LD95" s="21"/>
      <c r="LE95" s="21"/>
      <c r="LF95" s="21"/>
      <c r="LG95" s="21"/>
      <c r="LH95" s="21"/>
      <c r="LI95" s="21"/>
      <c r="LJ95" s="21"/>
      <c r="LK95" s="21"/>
      <c r="LL95" s="21"/>
      <c r="LM95" s="21"/>
      <c r="LN95" s="21"/>
      <c r="LO95" s="21"/>
      <c r="LP95" s="21"/>
      <c r="LQ95" s="21"/>
      <c r="LR95" s="21"/>
      <c r="LS95" s="21"/>
      <c r="LT95" s="21"/>
      <c r="LU95" s="21"/>
      <c r="LV95" s="21"/>
      <c r="LW95" s="21"/>
      <c r="LX95" s="21"/>
      <c r="LY95" s="21"/>
      <c r="LZ95" s="21"/>
      <c r="MA95" s="21"/>
      <c r="MB95" s="21"/>
      <c r="MC95" s="168">
        <v>117508000</v>
      </c>
      <c r="MD95" s="168">
        <v>114308000</v>
      </c>
      <c r="ME95" s="21"/>
      <c r="MF95" s="21"/>
      <c r="MG95" s="168">
        <v>3188000</v>
      </c>
      <c r="MH95" s="168">
        <v>2914000</v>
      </c>
      <c r="MI95" s="168">
        <v>15119000</v>
      </c>
      <c r="MJ95" s="168">
        <v>15119000</v>
      </c>
      <c r="MK95" s="21"/>
      <c r="ML95" s="21"/>
      <c r="MM95" s="21"/>
      <c r="MN95" s="21"/>
      <c r="MO95" s="21"/>
      <c r="MP95" s="21"/>
      <c r="MQ95" s="21"/>
      <c r="MR95" s="21"/>
      <c r="MS95" s="21"/>
      <c r="MT95" s="21"/>
      <c r="MU95" s="21"/>
      <c r="MV95" s="21"/>
      <c r="MW95" s="21"/>
      <c r="MX95" s="21"/>
      <c r="MY95" s="21"/>
      <c r="MZ95" s="21"/>
      <c r="NA95" s="21"/>
      <c r="NB95" s="21"/>
      <c r="NC95" s="168">
        <v>7592000</v>
      </c>
      <c r="ND95" s="168">
        <v>8839000</v>
      </c>
      <c r="NE95" s="21"/>
      <c r="NF95" s="21"/>
      <c r="NG95" s="168">
        <v>92357000</v>
      </c>
      <c r="NH95" s="168">
        <v>87911000</v>
      </c>
      <c r="NI95" s="21"/>
      <c r="NJ95" s="21"/>
      <c r="NK95" s="168">
        <v>14567000</v>
      </c>
      <c r="NL95" s="168">
        <v>15220000</v>
      </c>
      <c r="NM95" s="168">
        <v>161686000</v>
      </c>
      <c r="NN95" s="168">
        <v>155430000</v>
      </c>
      <c r="NO95" s="168">
        <v>271798000</v>
      </c>
      <c r="NP95" s="168">
        <v>261475000</v>
      </c>
      <c r="NQ95" s="168" t="s">
        <v>1266</v>
      </c>
      <c r="NR95" s="168" t="s">
        <v>1176</v>
      </c>
      <c r="NS95" s="168" t="s">
        <v>770</v>
      </c>
      <c r="NT95" s="168" t="s">
        <v>771</v>
      </c>
      <c r="NU95" s="168">
        <v>7401</v>
      </c>
      <c r="NV95" s="168" t="s">
        <v>2104</v>
      </c>
      <c r="NW95" s="168" t="s">
        <v>28</v>
      </c>
      <c r="NX95" s="168" t="s">
        <v>25</v>
      </c>
      <c r="NY95" s="169">
        <v>42886</v>
      </c>
      <c r="NZ95" s="169">
        <v>42521</v>
      </c>
      <c r="OA95" s="169">
        <v>43075</v>
      </c>
      <c r="OB95" s="168" t="s">
        <v>1267</v>
      </c>
      <c r="OC95" s="168">
        <v>12</v>
      </c>
      <c r="OD95" s="168" t="s">
        <v>2105</v>
      </c>
      <c r="OE95" s="168" t="s">
        <v>1268</v>
      </c>
      <c r="OF95" s="168" t="s">
        <v>2414</v>
      </c>
      <c r="OG95" s="168" t="s">
        <v>1943</v>
      </c>
      <c r="OH95" s="168" t="s">
        <v>860</v>
      </c>
      <c r="OI95" s="168" t="s">
        <v>766</v>
      </c>
      <c r="OJ95" s="168" t="s">
        <v>3240</v>
      </c>
      <c r="OK95" s="168" t="s">
        <v>1175</v>
      </c>
    </row>
    <row r="96" spans="1:401" x14ac:dyDescent="0.2">
      <c r="A96" s="170" t="str">
        <f>Liste[[#This Row],[Siren]]</f>
        <v>482718491</v>
      </c>
      <c r="B96" s="198" t="str">
        <f>Liste[[#This Row],[Dénomination]]&amp;" - comptes "&amp;YEAR(Liste[[#This Row],[Date de cloture de l''exercice]])</f>
        <v>ARMSTRONG INTERNATIONAL SA - comptes 2017</v>
      </c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1"/>
      <c r="GC96" s="21"/>
      <c r="GD96" s="21"/>
      <c r="GE96" s="21"/>
      <c r="GF96" s="21"/>
      <c r="GG96" s="21"/>
      <c r="GH96" s="21"/>
      <c r="GI96" s="21"/>
      <c r="GJ96" s="21"/>
      <c r="GK96" s="21"/>
      <c r="GL96" s="21"/>
      <c r="GM96" s="21"/>
      <c r="GN96" s="21"/>
      <c r="GO96" s="21"/>
      <c r="GP96" s="21"/>
      <c r="GQ96" s="21"/>
      <c r="GR96" s="21"/>
      <c r="GS96" s="21"/>
      <c r="GT96" s="21"/>
      <c r="GU96" s="21"/>
      <c r="GV96" s="21"/>
      <c r="GW96" s="21"/>
      <c r="GX96" s="21"/>
      <c r="GY96" s="21"/>
      <c r="GZ96" s="21"/>
      <c r="HA96" s="21"/>
      <c r="HB96" s="21"/>
      <c r="HC96" s="21"/>
      <c r="HD96" s="21"/>
      <c r="HE96" s="21"/>
      <c r="HF96" s="21"/>
      <c r="HG96" s="21"/>
      <c r="HH96" s="21"/>
      <c r="HI96" s="21"/>
      <c r="HJ96" s="21"/>
      <c r="HK96" s="21"/>
      <c r="HL96" s="21"/>
      <c r="HM96" s="21"/>
      <c r="HN96" s="21"/>
      <c r="HO96" s="21"/>
      <c r="HP96" s="21"/>
      <c r="HQ96" s="21"/>
      <c r="HR96" s="21"/>
      <c r="HS96" s="21"/>
      <c r="HT96" s="21"/>
      <c r="HU96" s="21"/>
      <c r="HV96" s="21"/>
      <c r="HW96" s="21"/>
      <c r="HX96" s="21"/>
      <c r="HY96" s="21"/>
      <c r="HZ96" s="21"/>
      <c r="IA96" s="21"/>
      <c r="IB96" s="21"/>
      <c r="IC96" s="21"/>
      <c r="ID96" s="21"/>
      <c r="IE96" s="21"/>
      <c r="IF96" s="21"/>
      <c r="IG96" s="21"/>
      <c r="IH96" s="21"/>
      <c r="II96" s="21"/>
      <c r="IJ96" s="21"/>
      <c r="IK96" s="21"/>
      <c r="IL96" s="21"/>
      <c r="IM96" s="21"/>
      <c r="IN96" s="21"/>
      <c r="IO96" s="21"/>
      <c r="IP96" s="21"/>
      <c r="IQ96" s="21"/>
      <c r="IR96" s="21"/>
      <c r="IS96" s="21"/>
      <c r="IT96" s="21"/>
      <c r="IU96" s="21"/>
      <c r="IV96" s="21"/>
      <c r="IW96" s="21"/>
      <c r="IX96" s="21"/>
      <c r="IY96" s="21"/>
      <c r="IZ96" s="21"/>
      <c r="JA96" s="21"/>
      <c r="JB96" s="21"/>
      <c r="JC96" s="21"/>
      <c r="JD96" s="21"/>
      <c r="JE96" s="21"/>
      <c r="JF96" s="21"/>
      <c r="JG96" s="21"/>
      <c r="JH96" s="21"/>
      <c r="JI96" s="21"/>
      <c r="JJ96" s="21"/>
      <c r="JK96" s="21"/>
      <c r="JL96" s="21"/>
      <c r="JM96" s="21"/>
      <c r="JN96" s="21"/>
      <c r="JO96" s="21"/>
      <c r="JP96" s="21"/>
      <c r="JQ96" s="21"/>
      <c r="JR96" s="21"/>
      <c r="JS96" s="21"/>
      <c r="JT96" s="21"/>
      <c r="JU96" s="21"/>
      <c r="JV96" s="21"/>
      <c r="JW96" s="21"/>
      <c r="JX96" s="21"/>
      <c r="JY96" s="21"/>
      <c r="JZ96" s="21"/>
      <c r="KA96" s="21"/>
      <c r="KB96" s="21"/>
      <c r="KC96" s="21"/>
      <c r="KD96" s="21"/>
      <c r="KE96" s="21"/>
      <c r="KF96" s="21"/>
      <c r="KG96" s="21"/>
      <c r="KH96" s="21"/>
      <c r="KI96" s="21"/>
      <c r="KJ96" s="21"/>
      <c r="KK96" s="21"/>
      <c r="KL96" s="21"/>
      <c r="KM96" s="21"/>
      <c r="KN96" s="21"/>
      <c r="KO96" s="21"/>
      <c r="KP96" s="21"/>
      <c r="KQ96" s="21"/>
      <c r="KR96" s="21"/>
      <c r="KS96" s="21"/>
      <c r="KT96" s="21"/>
      <c r="KU96" s="21"/>
      <c r="KV96" s="21"/>
      <c r="KW96" s="21"/>
      <c r="KX96" s="21"/>
      <c r="KY96" s="21"/>
      <c r="KZ96" s="21"/>
      <c r="LA96" s="21"/>
      <c r="LB96" s="21"/>
      <c r="LC96" s="21"/>
      <c r="LD96" s="21"/>
      <c r="LE96" s="21"/>
      <c r="LF96" s="21"/>
      <c r="LG96" s="21"/>
      <c r="LH96" s="21"/>
      <c r="LI96" s="21"/>
      <c r="LJ96" s="21"/>
      <c r="LK96" s="21"/>
      <c r="LL96" s="21"/>
      <c r="LM96" s="21"/>
      <c r="LN96" s="21"/>
      <c r="LO96" s="21"/>
      <c r="LP96" s="21"/>
      <c r="LQ96" s="21"/>
      <c r="LR96" s="21"/>
      <c r="LS96" s="21"/>
      <c r="LT96" s="21"/>
      <c r="LU96" s="21"/>
      <c r="LV96" s="21"/>
      <c r="LW96" s="21"/>
      <c r="LX96" s="21"/>
      <c r="LY96" s="21"/>
      <c r="LZ96" s="21"/>
      <c r="MA96" s="21"/>
      <c r="MB96" s="21"/>
      <c r="MC96" s="21"/>
      <c r="MD96" s="21"/>
      <c r="ME96" s="21"/>
      <c r="MF96" s="21"/>
      <c r="MG96" s="21"/>
      <c r="MH96" s="21"/>
      <c r="MI96" s="21"/>
      <c r="MJ96" s="21"/>
      <c r="MK96" s="21"/>
      <c r="ML96" s="21"/>
      <c r="MM96" s="21"/>
      <c r="MN96" s="21"/>
      <c r="MO96" s="21"/>
      <c r="MP96" s="21"/>
      <c r="MQ96" s="21"/>
      <c r="MR96" s="21"/>
      <c r="MS96" s="21"/>
      <c r="MT96" s="21"/>
      <c r="MU96" s="21"/>
      <c r="MV96" s="21"/>
      <c r="MW96" s="21"/>
      <c r="MX96" s="21"/>
      <c r="MY96" s="21"/>
      <c r="MZ96" s="21"/>
      <c r="NA96" s="21"/>
      <c r="NB96" s="21"/>
      <c r="NC96" s="21"/>
      <c r="ND96" s="21"/>
      <c r="NE96" s="21"/>
      <c r="NF96" s="21"/>
      <c r="NG96" s="21"/>
      <c r="NH96" s="21"/>
      <c r="NI96" s="21"/>
      <c r="NJ96" s="21"/>
      <c r="NK96" s="21"/>
      <c r="NL96" s="21"/>
      <c r="NM96" s="21"/>
      <c r="NN96" s="21"/>
      <c r="NO96" s="21"/>
      <c r="NP96" s="21"/>
      <c r="NQ96" s="168" t="s">
        <v>1480</v>
      </c>
      <c r="NR96" s="168" t="s">
        <v>797</v>
      </c>
      <c r="NS96" s="168" t="s">
        <v>770</v>
      </c>
      <c r="NT96" s="168" t="s">
        <v>771</v>
      </c>
      <c r="NU96" s="168">
        <v>7606</v>
      </c>
      <c r="NV96" s="168" t="s">
        <v>2175</v>
      </c>
      <c r="NW96" s="168" t="s">
        <v>28</v>
      </c>
      <c r="NX96" s="168" t="s">
        <v>25</v>
      </c>
      <c r="NY96" s="169">
        <v>42886</v>
      </c>
      <c r="NZ96" s="169">
        <v>42521</v>
      </c>
      <c r="OA96" s="169">
        <v>43034</v>
      </c>
      <c r="OB96" s="168" t="s">
        <v>1481</v>
      </c>
      <c r="OC96" s="168">
        <v>12</v>
      </c>
      <c r="OD96" s="168" t="s">
        <v>2105</v>
      </c>
      <c r="OE96" s="168" t="s">
        <v>2569</v>
      </c>
      <c r="OF96" s="168" t="s">
        <v>2576</v>
      </c>
      <c r="OG96" s="168" t="s">
        <v>2043</v>
      </c>
      <c r="OH96" s="168" t="s">
        <v>1111</v>
      </c>
      <c r="OI96" s="168" t="s">
        <v>825</v>
      </c>
      <c r="OJ96" s="168" t="s">
        <v>3249</v>
      </c>
      <c r="OK96" s="168" t="s">
        <v>796</v>
      </c>
    </row>
    <row r="97" spans="1:401" x14ac:dyDescent="0.2">
      <c r="A97" s="170" t="str">
        <f>Liste[[#This Row],[Siren]]</f>
        <v>819279167</v>
      </c>
      <c r="B97" s="198" t="str">
        <f>Liste[[#This Row],[Dénomination]]&amp;" - comptes "&amp;YEAR(Liste[[#This Row],[Date de cloture de l''exercice]])</f>
        <v>EXECUTIVE IT - comptes 2017</v>
      </c>
      <c r="C97" s="21"/>
      <c r="D97" s="21"/>
      <c r="E97" s="21"/>
      <c r="F97" s="168">
        <v>1771884</v>
      </c>
      <c r="G97" s="21"/>
      <c r="H97" s="168">
        <v>1771884</v>
      </c>
      <c r="I97" s="168">
        <v>1161454</v>
      </c>
      <c r="J97" s="168">
        <v>339815</v>
      </c>
      <c r="K97" s="21"/>
      <c r="L97" s="168">
        <v>1501269</v>
      </c>
      <c r="M97" s="21"/>
      <c r="N97" s="168">
        <v>72666</v>
      </c>
      <c r="O97" s="21"/>
      <c r="P97" s="168">
        <v>72666</v>
      </c>
      <c r="Q97" s="168">
        <v>3650</v>
      </c>
      <c r="R97" s="168">
        <v>3049</v>
      </c>
      <c r="S97" s="21"/>
      <c r="T97" s="168">
        <v>6699</v>
      </c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168">
        <v>37653</v>
      </c>
      <c r="AM97" s="21"/>
      <c r="AN97" s="168">
        <v>37653</v>
      </c>
      <c r="AO97" s="21"/>
      <c r="AP97" s="21"/>
      <c r="AQ97" s="21"/>
      <c r="AR97" s="21"/>
      <c r="AS97" s="21"/>
      <c r="AT97" s="21"/>
      <c r="AU97" s="21"/>
      <c r="AV97" s="168">
        <v>910</v>
      </c>
      <c r="AW97" s="21"/>
      <c r="AX97" s="168">
        <v>910426</v>
      </c>
      <c r="AY97" s="21"/>
      <c r="AZ97" s="168">
        <v>438292</v>
      </c>
      <c r="BA97" s="21"/>
      <c r="BB97" s="168">
        <v>438292</v>
      </c>
      <c r="BC97" s="168">
        <v>37633</v>
      </c>
      <c r="BD97" s="168">
        <v>24323839</v>
      </c>
      <c r="BE97" s="21"/>
      <c r="BF97" s="168">
        <v>24361472</v>
      </c>
      <c r="BG97" s="168">
        <v>453042</v>
      </c>
      <c r="BH97" s="168">
        <v>88554</v>
      </c>
      <c r="BI97" s="21"/>
      <c r="BJ97" s="168">
        <v>541596</v>
      </c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168">
        <v>9285795</v>
      </c>
      <c r="BY97" s="21"/>
      <c r="BZ97" s="168">
        <v>9285795</v>
      </c>
      <c r="CA97" s="21"/>
      <c r="CB97" s="21"/>
      <c r="CC97" s="21"/>
      <c r="CD97" s="21"/>
      <c r="CE97" s="168">
        <v>50484547</v>
      </c>
      <c r="CF97" s="21"/>
      <c r="CG97" s="168">
        <v>50484547</v>
      </c>
      <c r="CH97" s="21"/>
      <c r="CI97" s="21"/>
      <c r="CJ97" s="21"/>
      <c r="CK97" s="21"/>
      <c r="CL97" s="21"/>
      <c r="CM97" s="21"/>
      <c r="CN97" s="21"/>
      <c r="CO97" s="21"/>
      <c r="CP97" s="21"/>
      <c r="CQ97" s="168">
        <v>76863</v>
      </c>
      <c r="CR97" s="21"/>
      <c r="CS97" s="168">
        <v>76863</v>
      </c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168">
        <v>1108424</v>
      </c>
      <c r="DK97" s="168">
        <v>2285492</v>
      </c>
      <c r="DL97" s="21"/>
      <c r="DM97" s="168">
        <v>3393916</v>
      </c>
      <c r="DN97" s="21"/>
      <c r="DO97" s="21"/>
      <c r="DP97" s="21"/>
      <c r="DQ97" s="21"/>
      <c r="DR97" s="21"/>
      <c r="DS97" s="21"/>
      <c r="DT97" s="21"/>
      <c r="DU97" s="21"/>
      <c r="DV97" s="21"/>
      <c r="DW97" s="168">
        <v>100074</v>
      </c>
      <c r="DX97" s="21"/>
      <c r="DY97" s="168">
        <v>100074</v>
      </c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168">
        <v>1618146</v>
      </c>
      <c r="EL97" s="168">
        <v>681169</v>
      </c>
      <c r="EM97" s="21"/>
      <c r="EN97" s="168">
        <v>2299315</v>
      </c>
      <c r="EO97" s="168">
        <v>1146057</v>
      </c>
      <c r="EP97" s="168">
        <v>38500987</v>
      </c>
      <c r="EQ97" s="21"/>
      <c r="ER97" s="168">
        <v>39289012</v>
      </c>
      <c r="ES97" s="168">
        <v>2764203</v>
      </c>
      <c r="ET97" s="168">
        <v>90577131</v>
      </c>
      <c r="EU97" s="21"/>
      <c r="EV97" s="168">
        <v>92983302</v>
      </c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168">
        <v>-456790</v>
      </c>
      <c r="FJ97" s="21"/>
      <c r="FK97" s="21"/>
      <c r="FL97" s="21"/>
      <c r="FM97" s="168">
        <v>330554</v>
      </c>
      <c r="FN97" s="21"/>
      <c r="FO97" s="168">
        <v>140158</v>
      </c>
      <c r="FP97" s="21"/>
      <c r="FQ97" s="21"/>
      <c r="FR97" s="21"/>
      <c r="FS97" s="21"/>
      <c r="FT97" s="21"/>
      <c r="FU97" s="168">
        <v>52026</v>
      </c>
      <c r="FV97" s="21"/>
      <c r="FW97" s="168">
        <v>978808</v>
      </c>
      <c r="FX97" s="21"/>
      <c r="FY97" s="21"/>
      <c r="FZ97" s="21"/>
      <c r="GA97" s="21"/>
      <c r="GB97" s="21"/>
      <c r="GC97" s="168">
        <v>2922</v>
      </c>
      <c r="GD97" s="21"/>
      <c r="GE97" s="168">
        <v>11000</v>
      </c>
      <c r="GF97" s="21"/>
      <c r="GG97" s="21"/>
      <c r="GH97" s="21"/>
      <c r="GI97" s="21"/>
      <c r="GJ97" s="21"/>
      <c r="GK97" s="21"/>
      <c r="GL97" s="21"/>
      <c r="GM97" s="168">
        <v>1986455</v>
      </c>
      <c r="GN97" s="21"/>
      <c r="GO97" s="168">
        <v>1986455</v>
      </c>
      <c r="GP97" s="21"/>
      <c r="GQ97" s="21"/>
      <c r="GR97" s="21"/>
      <c r="GS97" s="21"/>
      <c r="GT97" s="21"/>
      <c r="GU97" s="168">
        <v>470712</v>
      </c>
      <c r="GV97" s="21"/>
      <c r="GW97" s="168">
        <v>13922</v>
      </c>
      <c r="GX97" s="21"/>
      <c r="GY97" s="168">
        <v>34225829</v>
      </c>
      <c r="GZ97" s="21"/>
      <c r="HA97" s="21"/>
      <c r="HB97" s="21"/>
      <c r="HC97" s="168">
        <v>7098407</v>
      </c>
      <c r="HD97" s="21"/>
      <c r="HE97" s="168">
        <v>44565</v>
      </c>
      <c r="HF97" s="21"/>
      <c r="HG97" s="168">
        <v>128684</v>
      </c>
      <c r="HH97" s="21"/>
      <c r="HI97" s="168">
        <v>67223</v>
      </c>
      <c r="HJ97" s="21"/>
      <c r="HK97" s="21"/>
      <c r="HL97" s="21"/>
      <c r="HM97" s="21"/>
      <c r="HN97" s="21"/>
      <c r="HO97" s="168">
        <v>3370788</v>
      </c>
      <c r="HP97" s="21"/>
      <c r="HQ97" s="168">
        <v>44591</v>
      </c>
      <c r="HR97" s="21"/>
      <c r="HS97" s="168">
        <v>169663</v>
      </c>
      <c r="HT97" s="21"/>
      <c r="HU97" s="168">
        <v>783636</v>
      </c>
      <c r="HV97" s="21"/>
      <c r="HW97" s="21"/>
      <c r="HX97" s="21"/>
      <c r="HY97" s="168">
        <v>278152</v>
      </c>
      <c r="HZ97" s="21"/>
      <c r="IA97" s="168">
        <v>331037</v>
      </c>
      <c r="IB97" s="21"/>
      <c r="IC97" s="21"/>
      <c r="ID97" s="21"/>
      <c r="IE97" s="168">
        <v>544814</v>
      </c>
      <c r="IF97" s="21"/>
      <c r="IG97" s="168">
        <v>2674024</v>
      </c>
      <c r="IH97" s="21"/>
      <c r="II97" s="21"/>
      <c r="IJ97" s="21"/>
      <c r="IK97" s="21"/>
      <c r="IL97" s="21"/>
      <c r="IM97" s="21"/>
      <c r="IN97" s="21"/>
      <c r="IO97" s="168">
        <v>12915</v>
      </c>
      <c r="IP97" s="21"/>
      <c r="IQ97" s="21"/>
      <c r="IR97" s="21"/>
      <c r="IS97" s="21"/>
      <c r="IT97" s="21"/>
      <c r="IU97" s="168">
        <v>3474079</v>
      </c>
      <c r="IV97" s="21"/>
      <c r="IW97" s="168">
        <v>5881427</v>
      </c>
      <c r="IX97" s="21"/>
      <c r="IY97" s="168">
        <v>-2407348</v>
      </c>
      <c r="IZ97" s="21"/>
      <c r="JA97" s="168">
        <v>1723600</v>
      </c>
      <c r="JB97" s="21"/>
      <c r="JC97" s="21"/>
      <c r="JD97" s="21"/>
      <c r="JE97" s="168">
        <v>8329695</v>
      </c>
      <c r="JF97" s="21"/>
      <c r="JG97" s="168">
        <v>28876</v>
      </c>
      <c r="JH97" s="21"/>
      <c r="JI97" s="168">
        <v>54973865</v>
      </c>
      <c r="JJ97" s="21"/>
      <c r="JK97" s="168">
        <v>2718615</v>
      </c>
      <c r="JL97" s="21"/>
      <c r="JM97" s="168">
        <v>1819699</v>
      </c>
      <c r="JN97" s="21"/>
      <c r="JO97" s="168">
        <v>311267</v>
      </c>
      <c r="JP97" s="21"/>
      <c r="JQ97" s="168">
        <v>-33058</v>
      </c>
      <c r="JR97" s="21"/>
      <c r="JS97" s="21"/>
      <c r="JT97" s="21"/>
      <c r="JU97" s="21"/>
      <c r="JV97" s="21"/>
      <c r="JW97" s="168">
        <v>59035593</v>
      </c>
      <c r="JX97" s="21"/>
      <c r="JY97" s="21"/>
      <c r="JZ97" s="21"/>
      <c r="KA97" s="168">
        <v>7003737</v>
      </c>
      <c r="KB97" s="21"/>
      <c r="KC97" s="21"/>
      <c r="KD97" s="21"/>
      <c r="KE97" s="168">
        <v>9226853</v>
      </c>
      <c r="KF97" s="21"/>
      <c r="KG97" s="21"/>
      <c r="KH97" s="21"/>
      <c r="KI97" s="168">
        <v>42805003</v>
      </c>
      <c r="KJ97" s="21"/>
      <c r="KK97" s="168">
        <v>3</v>
      </c>
      <c r="KL97" s="21"/>
      <c r="KM97" s="21"/>
      <c r="KN97" s="21"/>
      <c r="KO97" s="21"/>
      <c r="KP97" s="21"/>
      <c r="KQ97" s="168">
        <v>242408</v>
      </c>
      <c r="KR97" s="21"/>
      <c r="KS97" s="168">
        <v>8500000</v>
      </c>
      <c r="KT97" s="21"/>
      <c r="KU97" s="21"/>
      <c r="KV97" s="21"/>
      <c r="KW97" s="21"/>
      <c r="KX97" s="21"/>
      <c r="KY97" s="168">
        <v>1147775</v>
      </c>
      <c r="KZ97" s="21"/>
      <c r="LA97" s="168">
        <v>19548158</v>
      </c>
      <c r="LB97" s="21"/>
      <c r="LC97" s="21"/>
      <c r="LD97" s="21"/>
      <c r="LE97" s="21"/>
      <c r="LF97" s="21"/>
      <c r="LG97" s="21"/>
      <c r="LH97" s="21"/>
      <c r="LI97" s="168">
        <v>6463883</v>
      </c>
      <c r="LJ97" s="21"/>
      <c r="LK97" s="168">
        <v>15933912</v>
      </c>
      <c r="LL97" s="21"/>
      <c r="LM97" s="21"/>
      <c r="LN97" s="21"/>
      <c r="LO97" s="21"/>
      <c r="LP97" s="21"/>
      <c r="LQ97" s="21"/>
      <c r="LR97" s="21"/>
      <c r="LS97" s="21"/>
      <c r="LT97" s="21"/>
      <c r="LU97" s="21"/>
      <c r="LV97" s="21"/>
      <c r="LW97" s="21"/>
      <c r="LX97" s="21"/>
      <c r="LY97" s="21"/>
      <c r="LZ97" s="21"/>
      <c r="MA97" s="168">
        <v>26592416</v>
      </c>
      <c r="MB97" s="21"/>
      <c r="MC97" s="21"/>
      <c r="MD97" s="21"/>
      <c r="ME97" s="168">
        <v>6302499</v>
      </c>
      <c r="MF97" s="21"/>
      <c r="MG97" s="21"/>
      <c r="MH97" s="21"/>
      <c r="MI97" s="168">
        <v>249336</v>
      </c>
      <c r="MJ97" s="21"/>
      <c r="MK97" s="21"/>
      <c r="ML97" s="21"/>
      <c r="MM97" s="168">
        <v>3440030</v>
      </c>
      <c r="MN97" s="21"/>
      <c r="MO97" s="168">
        <v>141555</v>
      </c>
      <c r="MP97" s="21"/>
      <c r="MQ97" s="168">
        <v>28747</v>
      </c>
      <c r="MR97" s="21"/>
      <c r="MS97" s="21"/>
      <c r="MT97" s="21"/>
      <c r="MU97" s="21"/>
      <c r="MV97" s="21"/>
      <c r="MW97" s="21"/>
      <c r="MX97" s="21"/>
      <c r="MY97" s="21"/>
      <c r="MZ97" s="21"/>
      <c r="NA97" s="21"/>
      <c r="NB97" s="21"/>
      <c r="NC97" s="168">
        <v>1986455</v>
      </c>
      <c r="ND97" s="21"/>
      <c r="NE97" s="21"/>
      <c r="NF97" s="21"/>
      <c r="NG97" s="168">
        <v>21783903</v>
      </c>
      <c r="NH97" s="21"/>
      <c r="NI97" s="21"/>
      <c r="NJ97" s="21"/>
      <c r="NK97" s="21"/>
      <c r="NL97" s="21"/>
      <c r="NM97" s="168">
        <v>68622923</v>
      </c>
      <c r="NN97" s="21"/>
      <c r="NO97" s="168">
        <v>90577131</v>
      </c>
      <c r="NP97" s="21"/>
      <c r="NQ97" s="168" t="s">
        <v>970</v>
      </c>
      <c r="NR97" s="168" t="s">
        <v>769</v>
      </c>
      <c r="NS97" s="168" t="s">
        <v>770</v>
      </c>
      <c r="NT97" s="168" t="s">
        <v>771</v>
      </c>
      <c r="NU97" s="168">
        <v>7801</v>
      </c>
      <c r="NV97" s="168" t="s">
        <v>2104</v>
      </c>
      <c r="NW97" s="168" t="s">
        <v>28</v>
      </c>
      <c r="NX97" s="168" t="s">
        <v>25</v>
      </c>
      <c r="NY97" s="169">
        <v>42886</v>
      </c>
      <c r="NZ97" s="169">
        <v>42521</v>
      </c>
      <c r="OA97" s="169">
        <v>43048</v>
      </c>
      <c r="OB97" s="168" t="s">
        <v>1327</v>
      </c>
      <c r="OC97" s="168">
        <v>12</v>
      </c>
      <c r="OD97" s="168" t="s">
        <v>2105</v>
      </c>
      <c r="OE97" s="168" t="s">
        <v>2243</v>
      </c>
      <c r="OF97" s="168" t="s">
        <v>2465</v>
      </c>
      <c r="OG97" s="168" t="s">
        <v>1971</v>
      </c>
      <c r="OH97" s="168" t="s">
        <v>772</v>
      </c>
      <c r="OI97" s="168" t="s">
        <v>766</v>
      </c>
      <c r="OJ97" s="168" t="s">
        <v>3240</v>
      </c>
      <c r="OK97" s="168" t="s">
        <v>767</v>
      </c>
    </row>
    <row r="98" spans="1:401" x14ac:dyDescent="0.2">
      <c r="A98" s="170" t="str">
        <f>Liste[[#This Row],[Siren]]</f>
        <v>317783082</v>
      </c>
      <c r="B98" s="198" t="str">
        <f>Liste[[#This Row],[Dénomination]]&amp;" - comptes "&amp;YEAR(Liste[[#This Row],[Date de cloture de l''exercice]])</f>
        <v>SARL TRANSPADE - comptes 2017</v>
      </c>
      <c r="C98" s="21"/>
      <c r="D98" s="21"/>
      <c r="E98" s="21"/>
      <c r="F98" s="168">
        <v>2332729</v>
      </c>
      <c r="G98" s="168">
        <v>2073832</v>
      </c>
      <c r="H98" s="21"/>
      <c r="I98" s="21"/>
      <c r="J98" s="168">
        <v>6187342</v>
      </c>
      <c r="K98" s="168">
        <v>6489325</v>
      </c>
      <c r="L98" s="21"/>
      <c r="M98" s="21"/>
      <c r="N98" s="168">
        <v>191029</v>
      </c>
      <c r="O98" s="168">
        <v>184144</v>
      </c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168">
        <v>816</v>
      </c>
      <c r="AA98" s="168">
        <v>816</v>
      </c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168">
        <v>171960</v>
      </c>
      <c r="BA98" s="168">
        <v>107320</v>
      </c>
      <c r="BB98" s="21"/>
      <c r="BC98" s="21"/>
      <c r="BD98" s="168">
        <v>7022017</v>
      </c>
      <c r="BE98" s="168">
        <v>6544065</v>
      </c>
      <c r="BF98" s="21"/>
      <c r="BG98" s="21"/>
      <c r="BH98" s="168">
        <v>1001</v>
      </c>
      <c r="BI98" s="168">
        <v>10586</v>
      </c>
      <c r="BJ98" s="21"/>
      <c r="BK98" s="21"/>
      <c r="BL98" s="168">
        <v>493641</v>
      </c>
      <c r="BM98" s="168">
        <v>587774</v>
      </c>
      <c r="BN98" s="21"/>
      <c r="BO98" s="21"/>
      <c r="BP98" s="168">
        <v>269972</v>
      </c>
      <c r="BQ98" s="168">
        <v>57472</v>
      </c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168">
        <v>30000</v>
      </c>
      <c r="CF98" s="168">
        <v>30000</v>
      </c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168">
        <v>241610</v>
      </c>
      <c r="DH98" s="168">
        <v>250603</v>
      </c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168">
        <v>7684871</v>
      </c>
      <c r="EM98" s="168">
        <v>7926928</v>
      </c>
      <c r="EN98" s="21"/>
      <c r="EO98" s="21"/>
      <c r="EP98" s="168">
        <v>12744982</v>
      </c>
      <c r="EQ98" s="168">
        <v>11818017</v>
      </c>
      <c r="ER98" s="21"/>
      <c r="ES98" s="21"/>
      <c r="ET98" s="168">
        <v>20429853</v>
      </c>
      <c r="EU98" s="168">
        <v>19744945</v>
      </c>
      <c r="EV98" s="21"/>
      <c r="EW98" s="21"/>
      <c r="EX98" s="168">
        <v>269460</v>
      </c>
      <c r="EY98" s="168">
        <v>316208</v>
      </c>
      <c r="EZ98" s="21"/>
      <c r="FA98" s="21"/>
      <c r="FB98" s="21"/>
      <c r="FC98" s="21"/>
      <c r="FD98" s="21"/>
      <c r="FE98" s="21"/>
      <c r="FF98" s="168">
        <v>150000</v>
      </c>
      <c r="FG98" s="168">
        <v>150000</v>
      </c>
      <c r="FH98" s="21"/>
      <c r="FI98" s="168">
        <v>188680</v>
      </c>
      <c r="FJ98" s="168">
        <v>646738</v>
      </c>
      <c r="FK98" s="21"/>
      <c r="FL98" s="21"/>
      <c r="FM98" s="21"/>
      <c r="FN98" s="21"/>
      <c r="FO98" s="21"/>
      <c r="FP98" s="21"/>
      <c r="FQ98" s="21"/>
      <c r="FR98" s="168">
        <v>1216</v>
      </c>
      <c r="FS98" s="21"/>
      <c r="FT98" s="21"/>
      <c r="FU98" s="168">
        <v>34886</v>
      </c>
      <c r="FV98" s="168">
        <v>142713</v>
      </c>
      <c r="FW98" s="21"/>
      <c r="FX98" s="21"/>
      <c r="FY98" s="21"/>
      <c r="FZ98" s="21"/>
      <c r="GA98" s="21"/>
      <c r="GB98" s="21"/>
      <c r="GC98" s="21"/>
      <c r="GD98" s="21"/>
      <c r="GE98" s="21"/>
      <c r="GF98" s="21"/>
      <c r="GG98" s="21"/>
      <c r="GH98" s="21"/>
      <c r="GI98" s="21"/>
      <c r="GJ98" s="21"/>
      <c r="GK98" s="21"/>
      <c r="GL98" s="21"/>
      <c r="GM98" s="21"/>
      <c r="GN98" s="21"/>
      <c r="GO98" s="168">
        <v>1092353</v>
      </c>
      <c r="GP98" s="168">
        <v>826906</v>
      </c>
      <c r="GQ98" s="21"/>
      <c r="GR98" s="21"/>
      <c r="GS98" s="21"/>
      <c r="GT98" s="21"/>
      <c r="GU98" s="168">
        <v>4959</v>
      </c>
      <c r="GV98" s="168">
        <v>16972</v>
      </c>
      <c r="GW98" s="168">
        <v>193939</v>
      </c>
      <c r="GX98" s="168">
        <v>663710</v>
      </c>
      <c r="GY98" s="21"/>
      <c r="GZ98" s="21"/>
      <c r="HA98" s="168">
        <v>6083328</v>
      </c>
      <c r="HB98" s="168">
        <v>5994308</v>
      </c>
      <c r="HC98" s="168">
        <v>15664424</v>
      </c>
      <c r="HD98" s="168">
        <v>14499922</v>
      </c>
      <c r="HE98" s="168">
        <v>184495</v>
      </c>
      <c r="HF98" s="168">
        <v>153372</v>
      </c>
      <c r="HG98" s="21"/>
      <c r="HH98" s="21"/>
      <c r="HI98" s="168">
        <v>342718</v>
      </c>
      <c r="HJ98" s="168">
        <v>344285</v>
      </c>
      <c r="HK98" s="21"/>
      <c r="HL98" s="21"/>
      <c r="HM98" s="21"/>
      <c r="HN98" s="21"/>
      <c r="HO98" s="168">
        <v>3372453</v>
      </c>
      <c r="HP98" s="168">
        <v>3320982</v>
      </c>
      <c r="HQ98" s="21"/>
      <c r="HR98" s="21"/>
      <c r="HS98" s="21"/>
      <c r="HT98" s="21"/>
      <c r="HU98" s="21"/>
      <c r="HV98" s="21"/>
      <c r="HW98" s="21"/>
      <c r="HX98" s="21"/>
      <c r="HY98" s="21"/>
      <c r="HZ98" s="21"/>
      <c r="IA98" s="21"/>
      <c r="IB98" s="21"/>
      <c r="IC98" s="21"/>
      <c r="ID98" s="21"/>
      <c r="IE98" s="168">
        <v>725493</v>
      </c>
      <c r="IF98" s="168">
        <v>693597</v>
      </c>
      <c r="IG98" s="21"/>
      <c r="IH98" s="21"/>
      <c r="II98" s="21"/>
      <c r="IJ98" s="21"/>
      <c r="IK98" s="21"/>
      <c r="IL98" s="21"/>
      <c r="IM98" s="21"/>
      <c r="IN98" s="21"/>
      <c r="IO98" s="21"/>
      <c r="IP98" s="21"/>
      <c r="IQ98" s="21"/>
      <c r="IR98" s="21"/>
      <c r="IS98" s="21"/>
      <c r="IT98" s="21"/>
      <c r="IU98" s="21"/>
      <c r="IV98" s="21"/>
      <c r="IW98" s="168">
        <v>1172078</v>
      </c>
      <c r="IX98" s="168">
        <v>408154</v>
      </c>
      <c r="IY98" s="168">
        <v>5980</v>
      </c>
      <c r="IZ98" s="168">
        <v>53748</v>
      </c>
      <c r="JA98" s="21"/>
      <c r="JB98" s="21"/>
      <c r="JC98" s="21"/>
      <c r="JD98" s="21"/>
      <c r="JE98" s="168">
        <v>9957550</v>
      </c>
      <c r="JF98" s="168">
        <v>9799489</v>
      </c>
      <c r="JG98" s="168">
        <v>26900</v>
      </c>
      <c r="JH98" s="168">
        <v>1967</v>
      </c>
      <c r="JI98" s="168">
        <v>16942271</v>
      </c>
      <c r="JJ98" s="168">
        <v>16676731</v>
      </c>
      <c r="JK98" s="168">
        <v>4959</v>
      </c>
      <c r="JL98" s="168">
        <v>67091</v>
      </c>
      <c r="JM98" s="168">
        <v>39743672</v>
      </c>
      <c r="JN98" s="168">
        <v>37564483</v>
      </c>
      <c r="JO98" s="168">
        <v>10939</v>
      </c>
      <c r="JP98" s="168">
        <v>13343</v>
      </c>
      <c r="JQ98" s="21"/>
      <c r="JR98" s="21"/>
      <c r="JS98" s="168">
        <v>118430</v>
      </c>
      <c r="JT98" s="168">
        <v>14632</v>
      </c>
      <c r="JU98" s="21"/>
      <c r="JV98" s="21"/>
      <c r="JW98" s="168">
        <v>39374054</v>
      </c>
      <c r="JX98" s="168">
        <v>37218231</v>
      </c>
      <c r="JY98" s="21"/>
      <c r="JZ98" s="21"/>
      <c r="KA98" s="21"/>
      <c r="KB98" s="21"/>
      <c r="KC98" s="21"/>
      <c r="KD98" s="21"/>
      <c r="KE98" s="21"/>
      <c r="KF98" s="21"/>
      <c r="KG98" s="21"/>
      <c r="KH98" s="21"/>
      <c r="KI98" s="168">
        <v>39374054</v>
      </c>
      <c r="KJ98" s="168">
        <v>37218231</v>
      </c>
      <c r="KK98" s="21"/>
      <c r="KL98" s="21"/>
      <c r="KM98" s="21"/>
      <c r="KN98" s="21"/>
      <c r="KO98" s="21"/>
      <c r="KP98" s="21"/>
      <c r="KQ98" s="21"/>
      <c r="KR98" s="168">
        <v>58037</v>
      </c>
      <c r="KS98" s="21"/>
      <c r="KT98" s="21"/>
      <c r="KU98" s="168">
        <v>6330455</v>
      </c>
      <c r="KV98" s="168">
        <v>5787178</v>
      </c>
      <c r="KW98" s="21"/>
      <c r="KX98" s="21"/>
      <c r="KY98" s="21"/>
      <c r="KZ98" s="21"/>
      <c r="LA98" s="168">
        <v>2399480</v>
      </c>
      <c r="LB98" s="168">
        <v>2399480</v>
      </c>
      <c r="LC98" s="21"/>
      <c r="LD98" s="21"/>
      <c r="LE98" s="21"/>
      <c r="LF98" s="21"/>
      <c r="LG98" s="21"/>
      <c r="LH98" s="21"/>
      <c r="LI98" s="168">
        <v>3778763</v>
      </c>
      <c r="LJ98" s="168">
        <v>3470093</v>
      </c>
      <c r="LK98" s="168">
        <v>2826478</v>
      </c>
      <c r="LL98" s="168">
        <v>2744592</v>
      </c>
      <c r="LM98" s="21"/>
      <c r="LN98" s="21"/>
      <c r="LO98" s="21"/>
      <c r="LP98" s="21"/>
      <c r="LQ98" s="21"/>
      <c r="LR98" s="21"/>
      <c r="LS98" s="21"/>
      <c r="LT98" s="21"/>
      <c r="LU98" s="21"/>
      <c r="LV98" s="21"/>
      <c r="LW98" s="21"/>
      <c r="LX98" s="21"/>
      <c r="LY98" s="168">
        <v>73245</v>
      </c>
      <c r="LZ98" s="168">
        <v>73245</v>
      </c>
      <c r="MA98" s="168">
        <v>3699789</v>
      </c>
      <c r="MB98" s="168">
        <v>4151947</v>
      </c>
      <c r="MC98" s="168">
        <v>43231</v>
      </c>
      <c r="MD98" s="168">
        <v>112967</v>
      </c>
      <c r="ME98" s="21"/>
      <c r="MF98" s="21"/>
      <c r="MG98" s="168">
        <v>28677</v>
      </c>
      <c r="MH98" s="21"/>
      <c r="MI98" s="21"/>
      <c r="MJ98" s="21"/>
      <c r="MK98" s="21"/>
      <c r="ML98" s="21"/>
      <c r="MM98" s="168">
        <v>22923</v>
      </c>
      <c r="MN98" s="168">
        <v>29661</v>
      </c>
      <c r="MO98" s="21"/>
      <c r="MP98" s="21"/>
      <c r="MQ98" s="21"/>
      <c r="MR98" s="21"/>
      <c r="MS98" s="21"/>
      <c r="MT98" s="21"/>
      <c r="MU98" s="21"/>
      <c r="MV98" s="21"/>
      <c r="MW98" s="168">
        <v>134460</v>
      </c>
      <c r="MX98" s="168">
        <v>90839</v>
      </c>
      <c r="MY98" s="21"/>
      <c r="MZ98" s="21"/>
      <c r="NA98" s="21"/>
      <c r="NB98" s="21"/>
      <c r="NC98" s="168">
        <v>1092353</v>
      </c>
      <c r="ND98" s="168">
        <v>826906</v>
      </c>
      <c r="NE98" s="21"/>
      <c r="NF98" s="21"/>
      <c r="NG98" s="168">
        <v>9956747</v>
      </c>
      <c r="NH98" s="168">
        <v>9104403</v>
      </c>
      <c r="NI98" s="21"/>
      <c r="NJ98" s="21"/>
      <c r="NK98" s="21"/>
      <c r="NL98" s="21"/>
      <c r="NM98" s="168">
        <v>10371184</v>
      </c>
      <c r="NN98" s="168">
        <v>10567297</v>
      </c>
      <c r="NO98" s="168">
        <v>20429853</v>
      </c>
      <c r="NP98" s="168">
        <v>19744945</v>
      </c>
      <c r="NQ98" s="168" t="s">
        <v>1102</v>
      </c>
      <c r="NR98" s="168" t="s">
        <v>769</v>
      </c>
      <c r="NS98" s="168" t="s">
        <v>770</v>
      </c>
      <c r="NT98" s="168" t="s">
        <v>771</v>
      </c>
      <c r="NU98" s="168">
        <v>5910</v>
      </c>
      <c r="NV98" s="168" t="s">
        <v>2104</v>
      </c>
      <c r="NW98" s="168" t="s">
        <v>28</v>
      </c>
      <c r="NX98" s="168" t="s">
        <v>25</v>
      </c>
      <c r="NY98" s="169">
        <v>42855</v>
      </c>
      <c r="NZ98" s="169">
        <v>42490</v>
      </c>
      <c r="OA98" s="169">
        <v>43041</v>
      </c>
      <c r="OB98" s="168" t="s">
        <v>1555</v>
      </c>
      <c r="OC98" s="168">
        <v>12</v>
      </c>
      <c r="OD98" s="168" t="s">
        <v>2105</v>
      </c>
      <c r="OE98" s="168" t="s">
        <v>2633</v>
      </c>
      <c r="OF98" s="168" t="s">
        <v>2634</v>
      </c>
      <c r="OG98" s="168" t="s">
        <v>2084</v>
      </c>
      <c r="OH98" s="168" t="s">
        <v>907</v>
      </c>
      <c r="OI98" s="168" t="s">
        <v>766</v>
      </c>
      <c r="OJ98" s="168" t="s">
        <v>3240</v>
      </c>
      <c r="OK98" s="168" t="s">
        <v>767</v>
      </c>
    </row>
    <row r="99" spans="1:401" x14ac:dyDescent="0.2">
      <c r="A99" s="170" t="str">
        <f>Liste[[#This Row],[Siren]]</f>
        <v>814957346</v>
      </c>
      <c r="B99" s="198" t="str">
        <f>Liste[[#This Row],[Dénomination]]&amp;" - comptes "&amp;YEAR(Liste[[#This Row],[Date de cloture de l''exercice]])</f>
        <v>DOMALYS - comptes 2017</v>
      </c>
      <c r="C99" s="21"/>
      <c r="D99" s="21"/>
      <c r="E99" s="21"/>
      <c r="F99" s="168">
        <v>2814747</v>
      </c>
      <c r="G99" s="168">
        <v>2406208</v>
      </c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168">
        <v>3965260</v>
      </c>
      <c r="BE99" s="168">
        <v>3559312</v>
      </c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168">
        <v>3538452</v>
      </c>
      <c r="BY99" s="168">
        <v>2763721</v>
      </c>
      <c r="BZ99" s="21"/>
      <c r="CA99" s="21"/>
      <c r="CB99" s="21"/>
      <c r="CC99" s="21"/>
      <c r="CD99" s="21"/>
      <c r="CE99" s="168">
        <v>11630074</v>
      </c>
      <c r="CF99" s="168">
        <v>11630074</v>
      </c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168">
        <v>12283587</v>
      </c>
      <c r="EM99" s="168">
        <v>12256215</v>
      </c>
      <c r="EN99" s="21"/>
      <c r="EO99" s="21"/>
      <c r="EP99" s="168">
        <v>12604858</v>
      </c>
      <c r="EQ99" s="168">
        <v>10727417</v>
      </c>
      <c r="ER99" s="21"/>
      <c r="ES99" s="21"/>
      <c r="ET99" s="168">
        <v>24888445</v>
      </c>
      <c r="EU99" s="168">
        <v>22983632</v>
      </c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168">
        <v>514596</v>
      </c>
      <c r="FG99" s="168">
        <v>5145</v>
      </c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168">
        <v>-378975</v>
      </c>
      <c r="FS99" s="21"/>
      <c r="FT99" s="21"/>
      <c r="FU99" s="21"/>
      <c r="FV99" s="21"/>
      <c r="FW99" s="168">
        <v>-601707</v>
      </c>
      <c r="FX99" s="168">
        <v>-611709</v>
      </c>
      <c r="FY99" s="21"/>
      <c r="FZ99" s="21"/>
      <c r="GA99" s="21"/>
      <c r="GB99" s="21"/>
      <c r="GC99" s="21"/>
      <c r="GD99" s="21"/>
      <c r="GE99" s="21"/>
      <c r="GF99" s="21"/>
      <c r="GG99" s="21"/>
      <c r="GH99" s="21"/>
      <c r="GI99" s="21"/>
      <c r="GJ99" s="21"/>
      <c r="GK99" s="21"/>
      <c r="GL99" s="21"/>
      <c r="GM99" s="168">
        <v>1199195</v>
      </c>
      <c r="GN99" s="168">
        <v>881028</v>
      </c>
      <c r="GO99" s="168">
        <v>1199195</v>
      </c>
      <c r="GP99" s="168">
        <v>1260003</v>
      </c>
      <c r="GQ99" s="21"/>
      <c r="GR99" s="21"/>
      <c r="GS99" s="168">
        <v>1199195</v>
      </c>
      <c r="GT99" s="168">
        <v>881028</v>
      </c>
      <c r="GU99" s="21"/>
      <c r="GV99" s="21"/>
      <c r="GW99" s="21"/>
      <c r="GX99" s="21"/>
      <c r="GY99" s="21"/>
      <c r="GZ99" s="21"/>
      <c r="HA99" s="21"/>
      <c r="HB99" s="21"/>
      <c r="HC99" s="21"/>
      <c r="HD99" s="21"/>
      <c r="HE99" s="168">
        <v>-141400</v>
      </c>
      <c r="HF99" s="168">
        <v>-123721</v>
      </c>
      <c r="HG99" s="21"/>
      <c r="HH99" s="21"/>
      <c r="HI99" s="21"/>
      <c r="HJ99" s="21"/>
      <c r="HK99" s="21"/>
      <c r="HL99" s="21"/>
      <c r="HM99" s="21"/>
      <c r="HN99" s="21"/>
      <c r="HO99" s="21"/>
      <c r="HP99" s="21"/>
      <c r="HQ99" s="21"/>
      <c r="HR99" s="21"/>
      <c r="HS99" s="21"/>
      <c r="HT99" s="21"/>
      <c r="HU99" s="168">
        <v>-90515</v>
      </c>
      <c r="HV99" s="168">
        <v>-71798</v>
      </c>
      <c r="HW99" s="21"/>
      <c r="HX99" s="21"/>
      <c r="HY99" s="21"/>
      <c r="HZ99" s="21"/>
      <c r="IA99" s="21"/>
      <c r="IB99" s="21"/>
      <c r="IC99" s="21"/>
      <c r="ID99" s="21"/>
      <c r="IE99" s="168">
        <v>-139540</v>
      </c>
      <c r="IF99" s="168">
        <v>-132569</v>
      </c>
      <c r="IG99" s="21"/>
      <c r="IH99" s="21"/>
      <c r="II99" s="21"/>
      <c r="IJ99" s="21"/>
      <c r="IK99" s="21"/>
      <c r="IL99" s="21"/>
      <c r="IM99" s="168">
        <v>465223</v>
      </c>
      <c r="IN99" s="168">
        <v>292688</v>
      </c>
      <c r="IO99" s="21"/>
      <c r="IP99" s="21"/>
      <c r="IQ99" s="21"/>
      <c r="IR99" s="21"/>
      <c r="IS99" s="21"/>
      <c r="IT99" s="21"/>
      <c r="IU99" s="168">
        <v>1753492</v>
      </c>
      <c r="IV99" s="168">
        <v>1704495</v>
      </c>
      <c r="IW99" s="168">
        <v>1931776</v>
      </c>
      <c r="IX99" s="168">
        <v>1777104</v>
      </c>
      <c r="IY99" s="168">
        <v>-178284</v>
      </c>
      <c r="IZ99" s="168">
        <v>-72609</v>
      </c>
      <c r="JA99" s="21"/>
      <c r="JB99" s="21"/>
      <c r="JC99" s="21"/>
      <c r="JD99" s="21"/>
      <c r="JE99" s="21"/>
      <c r="JF99" s="21"/>
      <c r="JG99" s="21"/>
      <c r="JH99" s="21"/>
      <c r="JI99" s="21"/>
      <c r="JJ99" s="21"/>
      <c r="JK99" s="21"/>
      <c r="JL99" s="21"/>
      <c r="JM99" s="168">
        <v>32143654</v>
      </c>
      <c r="JN99" s="168">
        <v>28716700</v>
      </c>
      <c r="JO99" s="21"/>
      <c r="JP99" s="21"/>
      <c r="JQ99" s="21"/>
      <c r="JR99" s="21"/>
      <c r="JS99" s="21"/>
      <c r="JT99" s="21"/>
      <c r="JU99" s="21"/>
      <c r="JV99" s="21"/>
      <c r="JW99" s="168">
        <v>31678431</v>
      </c>
      <c r="JX99" s="168">
        <v>28424012</v>
      </c>
      <c r="JY99" s="21"/>
      <c r="JZ99" s="21"/>
      <c r="KA99" s="21"/>
      <c r="KB99" s="21"/>
      <c r="KC99" s="21"/>
      <c r="KD99" s="21"/>
      <c r="KE99" s="21"/>
      <c r="KF99" s="21"/>
      <c r="KG99" s="21"/>
      <c r="KH99" s="21"/>
      <c r="KI99" s="21"/>
      <c r="KJ99" s="21"/>
      <c r="KK99" s="21"/>
      <c r="KL99" s="21"/>
      <c r="KM99" s="21"/>
      <c r="KN99" s="21"/>
      <c r="KO99" s="21"/>
      <c r="KP99" s="21"/>
      <c r="KQ99" s="21"/>
      <c r="KR99" s="21"/>
      <c r="KS99" s="21"/>
      <c r="KT99" s="21"/>
      <c r="KU99" s="21"/>
      <c r="KV99" s="21"/>
      <c r="KW99" s="21"/>
      <c r="KX99" s="21"/>
      <c r="KY99" s="21"/>
      <c r="KZ99" s="21"/>
      <c r="LA99" s="168">
        <v>7207001</v>
      </c>
      <c r="LB99" s="168">
        <v>5707001</v>
      </c>
      <c r="LC99" s="21"/>
      <c r="LD99" s="21"/>
      <c r="LE99" s="21"/>
      <c r="LF99" s="21"/>
      <c r="LG99" s="21"/>
      <c r="LH99" s="21"/>
      <c r="LI99" s="21"/>
      <c r="LJ99" s="21"/>
      <c r="LK99" s="168">
        <v>6274980</v>
      </c>
      <c r="LL99" s="168">
        <v>6151869</v>
      </c>
      <c r="LM99" s="21"/>
      <c r="LN99" s="21"/>
      <c r="LO99" s="21"/>
      <c r="LP99" s="21"/>
      <c r="LQ99" s="21"/>
      <c r="LR99" s="21"/>
      <c r="LS99" s="21"/>
      <c r="LT99" s="21"/>
      <c r="LU99" s="21"/>
      <c r="LV99" s="21"/>
      <c r="LW99" s="21"/>
      <c r="LX99" s="21"/>
      <c r="LY99" s="21"/>
      <c r="LZ99" s="21"/>
      <c r="MA99" s="21"/>
      <c r="MB99" s="21"/>
      <c r="MC99" s="168">
        <v>5244159</v>
      </c>
      <c r="MD99" s="168">
        <v>6689932</v>
      </c>
      <c r="ME99" s="21"/>
      <c r="MF99" s="21"/>
      <c r="MG99" s="21"/>
      <c r="MH99" s="21"/>
      <c r="MI99" s="21"/>
      <c r="MJ99" s="21"/>
      <c r="MK99" s="21"/>
      <c r="ML99" s="21"/>
      <c r="MM99" s="21"/>
      <c r="MN99" s="21"/>
      <c r="MO99" s="21"/>
      <c r="MP99" s="21"/>
      <c r="MQ99" s="21"/>
      <c r="MR99" s="21"/>
      <c r="MS99" s="21"/>
      <c r="MT99" s="21"/>
      <c r="MU99" s="21"/>
      <c r="MV99" s="21"/>
      <c r="MW99" s="168">
        <v>200219</v>
      </c>
      <c r="MX99" s="168">
        <v>-534538</v>
      </c>
      <c r="MY99" s="21"/>
      <c r="MZ99" s="21"/>
      <c r="NA99" s="21"/>
      <c r="NB99" s="21"/>
      <c r="NC99" s="168">
        <v>1199195</v>
      </c>
      <c r="ND99" s="168">
        <v>734756</v>
      </c>
      <c r="NE99" s="21"/>
      <c r="NF99" s="21"/>
      <c r="NG99" s="168">
        <v>8606415</v>
      </c>
      <c r="NH99" s="168">
        <v>5907219</v>
      </c>
      <c r="NI99" s="21"/>
      <c r="NJ99" s="21"/>
      <c r="NK99" s="21"/>
      <c r="NL99" s="21"/>
      <c r="NM99" s="168">
        <v>15871267</v>
      </c>
      <c r="NN99" s="168">
        <v>16560639</v>
      </c>
      <c r="NO99" s="168">
        <v>24888445</v>
      </c>
      <c r="NP99" s="168">
        <v>22983632</v>
      </c>
      <c r="NQ99" s="168" t="s">
        <v>1502</v>
      </c>
      <c r="NR99" s="168" t="s">
        <v>797</v>
      </c>
      <c r="NS99" s="168" t="s">
        <v>770</v>
      </c>
      <c r="NT99" s="168" t="s">
        <v>771</v>
      </c>
      <c r="NU99" s="168">
        <v>1304</v>
      </c>
      <c r="NV99" s="168" t="s">
        <v>2104</v>
      </c>
      <c r="NW99" s="168" t="s">
        <v>28</v>
      </c>
      <c r="NX99" s="168" t="s">
        <v>25</v>
      </c>
      <c r="NY99" s="169">
        <v>42855</v>
      </c>
      <c r="NZ99" s="169">
        <v>42490</v>
      </c>
      <c r="OA99" s="169">
        <v>43059</v>
      </c>
      <c r="OB99" s="168" t="s">
        <v>1556</v>
      </c>
      <c r="OC99" s="168">
        <v>12</v>
      </c>
      <c r="OD99" s="168" t="s">
        <v>2106</v>
      </c>
      <c r="OE99" s="168" t="s">
        <v>2216</v>
      </c>
      <c r="OF99" s="168" t="s">
        <v>2635</v>
      </c>
      <c r="OG99" s="168" t="s">
        <v>2085</v>
      </c>
      <c r="OH99" s="168" t="s">
        <v>1220</v>
      </c>
      <c r="OI99" s="168" t="s">
        <v>766</v>
      </c>
      <c r="OJ99" s="168" t="s">
        <v>3240</v>
      </c>
      <c r="OK99" s="168" t="s">
        <v>796</v>
      </c>
    </row>
    <row r="100" spans="1:401" x14ac:dyDescent="0.2">
      <c r="A100" s="170" t="str">
        <f>Liste[[#This Row],[Siren]]</f>
        <v>387915085</v>
      </c>
      <c r="B100" s="198" t="str">
        <f>Liste[[#This Row],[Dénomination]]&amp;" - comptes "&amp;YEAR(Liste[[#This Row],[Date de cloture de l''exercice]])</f>
        <v>R&amp;O SEAFOOD GASTRONOMY - comptes 2017</v>
      </c>
      <c r="C100" s="21"/>
      <c r="D100" s="21"/>
      <c r="E100" s="168">
        <v>15000</v>
      </c>
      <c r="F100" s="168">
        <v>3766664</v>
      </c>
      <c r="G100" s="168">
        <v>3539180</v>
      </c>
      <c r="H100" s="168">
        <v>3781664</v>
      </c>
      <c r="I100" s="168">
        <v>8783886</v>
      </c>
      <c r="J100" s="168">
        <v>2427430</v>
      </c>
      <c r="K100" s="168">
        <v>2635016</v>
      </c>
      <c r="L100" s="168">
        <v>11211316</v>
      </c>
      <c r="M100" s="21"/>
      <c r="N100" s="168">
        <v>420263</v>
      </c>
      <c r="O100" s="168">
        <v>409984</v>
      </c>
      <c r="P100" s="168">
        <v>420263</v>
      </c>
      <c r="Q100" s="21"/>
      <c r="R100" s="168">
        <v>1119551</v>
      </c>
      <c r="S100" s="168">
        <v>1119551</v>
      </c>
      <c r="T100" s="168">
        <v>1119551</v>
      </c>
      <c r="U100" s="168">
        <v>1000</v>
      </c>
      <c r="V100" s="168">
        <v>23022</v>
      </c>
      <c r="W100" s="168">
        <v>476404</v>
      </c>
      <c r="X100" s="168">
        <v>24022</v>
      </c>
      <c r="Y100" s="21"/>
      <c r="Z100" s="168">
        <v>9310</v>
      </c>
      <c r="AA100" s="168">
        <v>9310</v>
      </c>
      <c r="AB100" s="168">
        <v>9310</v>
      </c>
      <c r="AC100" s="21"/>
      <c r="AD100" s="168">
        <v>49140</v>
      </c>
      <c r="AE100" s="168">
        <v>1947</v>
      </c>
      <c r="AF100" s="168">
        <v>49140</v>
      </c>
      <c r="AG100" s="21"/>
      <c r="AH100" s="21"/>
      <c r="AI100" s="21"/>
      <c r="AJ100" s="21"/>
      <c r="AK100" s="21"/>
      <c r="AL100" s="168">
        <v>65863</v>
      </c>
      <c r="AM100" s="168">
        <v>53677</v>
      </c>
      <c r="AN100" s="168">
        <v>65863</v>
      </c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168">
        <v>387725</v>
      </c>
      <c r="BA100" s="168">
        <v>375001</v>
      </c>
      <c r="BB100" s="168">
        <v>387725</v>
      </c>
      <c r="BC100" s="168">
        <v>3135499</v>
      </c>
      <c r="BD100" s="168">
        <v>36468022</v>
      </c>
      <c r="BE100" s="168">
        <v>34667405</v>
      </c>
      <c r="BF100" s="168">
        <v>39603521</v>
      </c>
      <c r="BG100" s="168">
        <v>719817</v>
      </c>
      <c r="BH100" s="168">
        <v>77572</v>
      </c>
      <c r="BI100" s="168">
        <v>65840</v>
      </c>
      <c r="BJ100" s="168">
        <v>797389</v>
      </c>
      <c r="BK100" s="168">
        <v>7346309</v>
      </c>
      <c r="BL100" s="168">
        <v>9344598</v>
      </c>
      <c r="BM100" s="168">
        <v>9556330</v>
      </c>
      <c r="BN100" s="168">
        <v>16690907</v>
      </c>
      <c r="BO100" s="21"/>
      <c r="BP100" s="168">
        <v>19750</v>
      </c>
      <c r="BQ100" s="168">
        <v>9310</v>
      </c>
      <c r="BR100" s="168">
        <v>19750</v>
      </c>
      <c r="BS100" s="21"/>
      <c r="BT100" s="21"/>
      <c r="BU100" s="21"/>
      <c r="BV100" s="21"/>
      <c r="BW100" s="21"/>
      <c r="BX100" s="168">
        <v>9031768</v>
      </c>
      <c r="BY100" s="168">
        <v>8781757</v>
      </c>
      <c r="BZ100" s="168">
        <v>9031768</v>
      </c>
      <c r="CA100" s="21"/>
      <c r="CB100" s="21"/>
      <c r="CC100" s="21"/>
      <c r="CD100" s="168">
        <v>8514686</v>
      </c>
      <c r="CE100" s="168">
        <v>2467322</v>
      </c>
      <c r="CF100" s="168">
        <v>2294252</v>
      </c>
      <c r="CG100" s="168">
        <v>10982008</v>
      </c>
      <c r="CH100" s="21"/>
      <c r="CI100" s="168">
        <v>1613800</v>
      </c>
      <c r="CJ100" s="168">
        <v>1853800</v>
      </c>
      <c r="CK100" s="168">
        <v>1613800</v>
      </c>
      <c r="CL100" s="21"/>
      <c r="CM100" s="21"/>
      <c r="CN100" s="21"/>
      <c r="CO100" s="21"/>
      <c r="CP100" s="21"/>
      <c r="CQ100" s="168">
        <v>35000</v>
      </c>
      <c r="CR100" s="21"/>
      <c r="CS100" s="168">
        <v>35000</v>
      </c>
      <c r="CT100" s="168">
        <v>16970</v>
      </c>
      <c r="CU100" s="168">
        <v>1618</v>
      </c>
      <c r="CV100" s="168">
        <v>2586</v>
      </c>
      <c r="CW100" s="168">
        <v>18588</v>
      </c>
      <c r="CX100" s="21"/>
      <c r="CY100" s="21"/>
      <c r="CZ100" s="21"/>
      <c r="DA100" s="21"/>
      <c r="DB100" s="21"/>
      <c r="DC100" s="168">
        <v>513046</v>
      </c>
      <c r="DD100" s="168">
        <v>332418</v>
      </c>
      <c r="DE100" s="168">
        <v>513046</v>
      </c>
      <c r="DF100" s="168">
        <v>5789272</v>
      </c>
      <c r="DG100" s="168">
        <v>745104</v>
      </c>
      <c r="DH100" s="168">
        <v>836580</v>
      </c>
      <c r="DI100" s="168">
        <v>6534376</v>
      </c>
      <c r="DJ100" s="21"/>
      <c r="DK100" s="168">
        <v>15218567</v>
      </c>
      <c r="DL100" s="168">
        <v>11129730</v>
      </c>
      <c r="DM100" s="168">
        <v>15218567</v>
      </c>
      <c r="DN100" s="168">
        <v>33655</v>
      </c>
      <c r="DO100" s="168">
        <v>3269709</v>
      </c>
      <c r="DP100" s="168">
        <v>3580757</v>
      </c>
      <c r="DQ100" s="168">
        <v>3303364</v>
      </c>
      <c r="DR100" s="21"/>
      <c r="DS100" s="168">
        <v>57272</v>
      </c>
      <c r="DT100" s="168">
        <v>68630</v>
      </c>
      <c r="DU100" s="168">
        <v>57272</v>
      </c>
      <c r="DV100" s="168">
        <v>14600</v>
      </c>
      <c r="DW100" s="168">
        <v>7636</v>
      </c>
      <c r="DX100" s="168">
        <v>11461</v>
      </c>
      <c r="DY100" s="168">
        <v>22236</v>
      </c>
      <c r="DZ100" s="21"/>
      <c r="EA100" s="21"/>
      <c r="EB100" s="21"/>
      <c r="EC100" s="21"/>
      <c r="ED100" s="168">
        <v>1325587</v>
      </c>
      <c r="EE100" s="168">
        <v>2679665</v>
      </c>
      <c r="EF100" s="168">
        <v>1325587</v>
      </c>
      <c r="EG100" s="21"/>
      <c r="EH100" s="21"/>
      <c r="EI100" s="21"/>
      <c r="EJ100" s="21"/>
      <c r="EK100" s="168">
        <v>28777759</v>
      </c>
      <c r="EL100" s="168">
        <v>20946634</v>
      </c>
      <c r="EM100" s="168">
        <v>21956960</v>
      </c>
      <c r="EN100" s="168">
        <v>49724393</v>
      </c>
      <c r="EO100" s="168">
        <v>3184154</v>
      </c>
      <c r="EP100" s="168">
        <v>71147705</v>
      </c>
      <c r="EQ100" s="168">
        <v>66660972</v>
      </c>
      <c r="ER100" s="168">
        <v>74331859</v>
      </c>
      <c r="ES100" s="168">
        <v>40476599</v>
      </c>
      <c r="ET100" s="168">
        <v>94561674</v>
      </c>
      <c r="EU100" s="168">
        <v>90912192</v>
      </c>
      <c r="EV100" s="168">
        <v>135038273</v>
      </c>
      <c r="EW100" s="168">
        <v>6105905</v>
      </c>
      <c r="EX100" s="168">
        <v>6096322</v>
      </c>
      <c r="EY100" s="168">
        <v>6399574</v>
      </c>
      <c r="EZ100" s="168">
        <v>12202227</v>
      </c>
      <c r="FA100" s="21"/>
      <c r="FB100" s="21"/>
      <c r="FC100" s="21"/>
      <c r="FD100" s="21"/>
      <c r="FE100" s="21"/>
      <c r="FF100" s="21"/>
      <c r="FG100" s="21"/>
      <c r="FH100" s="21"/>
      <c r="FI100" s="168">
        <v>-764039</v>
      </c>
      <c r="FJ100" s="168">
        <v>676630</v>
      </c>
      <c r="FK100" s="21"/>
      <c r="FL100" s="21"/>
      <c r="FM100" s="168">
        <v>149881</v>
      </c>
      <c r="FN100" s="168">
        <v>858009</v>
      </c>
      <c r="FO100" s="168">
        <v>16094</v>
      </c>
      <c r="FP100" s="168">
        <v>154441</v>
      </c>
      <c r="FQ100" s="168">
        <v>290721</v>
      </c>
      <c r="FR100" s="168">
        <v>287207</v>
      </c>
      <c r="FS100" s="168">
        <v>791590</v>
      </c>
      <c r="FT100" s="168">
        <v>414197</v>
      </c>
      <c r="FU100" s="168">
        <v>53260</v>
      </c>
      <c r="FV100" s="168">
        <v>18524</v>
      </c>
      <c r="FW100" s="168">
        <v>1833847</v>
      </c>
      <c r="FX100" s="168">
        <v>1859230</v>
      </c>
      <c r="FY100" s="168">
        <v>604409</v>
      </c>
      <c r="FZ100" s="168">
        <v>420026</v>
      </c>
      <c r="GA100" s="21"/>
      <c r="GB100" s="21"/>
      <c r="GC100" s="168">
        <v>24824</v>
      </c>
      <c r="GD100" s="168">
        <v>1458859</v>
      </c>
      <c r="GE100" s="168">
        <v>30037</v>
      </c>
      <c r="GF100" s="168">
        <v>452316</v>
      </c>
      <c r="GG100" s="21"/>
      <c r="GH100" s="21"/>
      <c r="GI100" s="21"/>
      <c r="GJ100" s="21"/>
      <c r="GK100" s="168">
        <v>138665</v>
      </c>
      <c r="GL100" s="168">
        <v>192102</v>
      </c>
      <c r="GM100" s="168">
        <v>4265043</v>
      </c>
      <c r="GN100" s="168">
        <v>4547860</v>
      </c>
      <c r="GO100" s="168">
        <v>4567122</v>
      </c>
      <c r="GP100" s="168">
        <v>4836619</v>
      </c>
      <c r="GQ100" s="168">
        <v>-11358</v>
      </c>
      <c r="GR100" s="168">
        <v>-1552</v>
      </c>
      <c r="GS100" s="21"/>
      <c r="GT100" s="21"/>
      <c r="GU100" s="168">
        <v>957565</v>
      </c>
      <c r="GV100" s="168">
        <v>1426647</v>
      </c>
      <c r="GW100" s="168">
        <v>193526</v>
      </c>
      <c r="GX100" s="168">
        <v>2103277</v>
      </c>
      <c r="GY100" s="168">
        <v>203424532</v>
      </c>
      <c r="GZ100" s="168">
        <v>187351947</v>
      </c>
      <c r="HA100" s="168">
        <v>7774856</v>
      </c>
      <c r="HB100" s="168">
        <v>8225880</v>
      </c>
      <c r="HC100" s="168">
        <v>23860718</v>
      </c>
      <c r="HD100" s="168">
        <v>22397425</v>
      </c>
      <c r="HE100" s="168">
        <v>659943</v>
      </c>
      <c r="HF100" s="168">
        <v>1420066</v>
      </c>
      <c r="HG100" s="168">
        <v>21296</v>
      </c>
      <c r="HH100" s="168">
        <v>32939</v>
      </c>
      <c r="HI100" s="168">
        <v>166349</v>
      </c>
      <c r="HJ100" s="168">
        <v>72104</v>
      </c>
      <c r="HK100" s="21"/>
      <c r="HL100" s="21"/>
      <c r="HM100" s="21"/>
      <c r="HN100" s="21"/>
      <c r="HO100" s="168">
        <v>9580759</v>
      </c>
      <c r="HP100" s="168">
        <v>9258930</v>
      </c>
      <c r="HQ100" s="168">
        <v>135064</v>
      </c>
      <c r="HR100" s="168">
        <v>100242</v>
      </c>
      <c r="HS100" s="168">
        <v>70677</v>
      </c>
      <c r="HT100" s="168">
        <v>372269</v>
      </c>
      <c r="HU100" s="168">
        <v>2348619</v>
      </c>
      <c r="HV100" s="168">
        <v>2324951</v>
      </c>
      <c r="HW100" s="21"/>
      <c r="HX100" s="21"/>
      <c r="HY100" s="168">
        <v>1614346</v>
      </c>
      <c r="HZ100" s="21"/>
      <c r="IA100" s="168">
        <v>1232685</v>
      </c>
      <c r="IB100" s="168">
        <v>934053</v>
      </c>
      <c r="IC100" s="21"/>
      <c r="ID100" s="21"/>
      <c r="IE100" s="168">
        <v>1882140</v>
      </c>
      <c r="IF100" s="168">
        <v>1938301</v>
      </c>
      <c r="IG100" s="168">
        <v>381226</v>
      </c>
      <c r="IH100" s="168">
        <v>460239</v>
      </c>
      <c r="II100" s="21"/>
      <c r="IJ100" s="21"/>
      <c r="IK100" s="21"/>
      <c r="IL100" s="21"/>
      <c r="IM100" s="168">
        <v>-1594078</v>
      </c>
      <c r="IN100" s="168">
        <v>2244685</v>
      </c>
      <c r="IO100" s="21"/>
      <c r="IP100" s="168">
        <v>884</v>
      </c>
      <c r="IQ100" s="168">
        <v>55376</v>
      </c>
      <c r="IR100" s="168">
        <v>35919</v>
      </c>
      <c r="IS100" s="21"/>
      <c r="IT100" s="21"/>
      <c r="IU100" s="168">
        <v>7218268</v>
      </c>
      <c r="IV100" s="168">
        <v>6037743</v>
      </c>
      <c r="IW100" s="168">
        <v>7587208</v>
      </c>
      <c r="IX100" s="168">
        <v>6156215</v>
      </c>
      <c r="IY100" s="168">
        <v>-368940</v>
      </c>
      <c r="IZ100" s="168">
        <v>-118472</v>
      </c>
      <c r="JA100" s="168">
        <v>1223201</v>
      </c>
      <c r="JB100" s="168">
        <v>1228346</v>
      </c>
      <c r="JC100" s="21"/>
      <c r="JD100" s="21"/>
      <c r="JE100" s="168">
        <v>21021479</v>
      </c>
      <c r="JF100" s="168">
        <v>20362383</v>
      </c>
      <c r="JG100" s="168">
        <v>2411</v>
      </c>
      <c r="JH100" s="168">
        <v>11488</v>
      </c>
      <c r="JI100" s="168">
        <v>269606436</v>
      </c>
      <c r="JJ100" s="168">
        <v>252106394</v>
      </c>
      <c r="JK100" s="168">
        <v>516289</v>
      </c>
      <c r="JL100" s="168">
        <v>560485</v>
      </c>
      <c r="JM100" s="168">
        <v>-202117</v>
      </c>
      <c r="JN100" s="168">
        <v>3556623</v>
      </c>
      <c r="JO100" s="168">
        <v>147349</v>
      </c>
      <c r="JP100" s="168">
        <v>442013</v>
      </c>
      <c r="JQ100" s="168">
        <v>-4010204</v>
      </c>
      <c r="JR100" s="168">
        <v>-2043212</v>
      </c>
      <c r="JS100" s="168">
        <v>216563</v>
      </c>
      <c r="JT100" s="168">
        <v>-64330</v>
      </c>
      <c r="JU100" s="21"/>
      <c r="JV100" s="21"/>
      <c r="JW100" s="168">
        <v>277395761</v>
      </c>
      <c r="JX100" s="168">
        <v>254705986</v>
      </c>
      <c r="JY100" s="21"/>
      <c r="JZ100" s="21"/>
      <c r="KA100" s="21"/>
      <c r="KB100" s="21"/>
      <c r="KC100" s="21"/>
      <c r="KD100" s="21"/>
      <c r="KE100" s="168">
        <v>2537473</v>
      </c>
      <c r="KF100" s="168">
        <v>2342951</v>
      </c>
      <c r="KG100" s="21"/>
      <c r="KH100" s="21"/>
      <c r="KI100" s="168">
        <v>257283419</v>
      </c>
      <c r="KJ100" s="168">
        <v>235993610</v>
      </c>
      <c r="KK100" s="21"/>
      <c r="KL100" s="21"/>
      <c r="KM100" s="21"/>
      <c r="KN100" s="21"/>
      <c r="KO100" s="21"/>
      <c r="KP100" s="21"/>
      <c r="KQ100" s="21"/>
      <c r="KR100" s="21"/>
      <c r="KS100" s="21"/>
      <c r="KT100" s="21"/>
      <c r="KU100" s="168">
        <v>7970189</v>
      </c>
      <c r="KV100" s="168">
        <v>6430750</v>
      </c>
      <c r="KW100" s="21"/>
      <c r="KX100" s="21"/>
      <c r="KY100" s="168">
        <v>38607685</v>
      </c>
      <c r="KZ100" s="168">
        <v>38523969</v>
      </c>
      <c r="LA100" s="168">
        <v>15106928</v>
      </c>
      <c r="LB100" s="168">
        <v>15106928</v>
      </c>
      <c r="LC100" s="21"/>
      <c r="LD100" s="21"/>
      <c r="LE100" s="168">
        <v>604409</v>
      </c>
      <c r="LF100" s="168">
        <v>420026</v>
      </c>
      <c r="LG100" s="21"/>
      <c r="LH100" s="21"/>
      <c r="LI100" s="168">
        <v>70144</v>
      </c>
      <c r="LJ100" s="168">
        <v>30440</v>
      </c>
      <c r="LK100" s="168">
        <v>8444511</v>
      </c>
      <c r="LL100" s="168">
        <v>8024253</v>
      </c>
      <c r="LM100" s="168">
        <v>836487</v>
      </c>
      <c r="LN100" s="168">
        <v>707962</v>
      </c>
      <c r="LO100" s="21"/>
      <c r="LP100" s="21"/>
      <c r="LQ100" s="21"/>
      <c r="LR100" s="21"/>
      <c r="LS100" s="21"/>
      <c r="LT100" s="21"/>
      <c r="LU100" s="21"/>
      <c r="LV100" s="21"/>
      <c r="LW100" s="21"/>
      <c r="LX100" s="21"/>
      <c r="LY100" s="21"/>
      <c r="LZ100" s="21"/>
      <c r="MA100" s="168">
        <v>12471160</v>
      </c>
      <c r="MB100" s="168">
        <v>13184711</v>
      </c>
      <c r="MC100" s="168">
        <v>1884383</v>
      </c>
      <c r="MD100" s="168">
        <v>1838541</v>
      </c>
      <c r="ME100" s="21"/>
      <c r="MF100" s="21"/>
      <c r="MG100" s="21"/>
      <c r="MH100" s="21"/>
      <c r="MI100" s="21"/>
      <c r="MJ100" s="21"/>
      <c r="MK100" s="21"/>
      <c r="ML100" s="21"/>
      <c r="MM100" s="21"/>
      <c r="MN100" s="21"/>
      <c r="MO100" s="21"/>
      <c r="MP100" s="21"/>
      <c r="MQ100" s="168">
        <v>2804407</v>
      </c>
      <c r="MR100" s="168">
        <v>530594</v>
      </c>
      <c r="MS100" s="21"/>
      <c r="MT100" s="21"/>
      <c r="MU100" s="21"/>
      <c r="MV100" s="21"/>
      <c r="MW100" s="168">
        <v>1089853</v>
      </c>
      <c r="MX100" s="168">
        <v>961462</v>
      </c>
      <c r="MY100" s="21"/>
      <c r="MZ100" s="21"/>
      <c r="NA100" s="21"/>
      <c r="NB100" s="21"/>
      <c r="NC100" s="168">
        <v>3660634</v>
      </c>
      <c r="ND100" s="168">
        <v>4127834</v>
      </c>
      <c r="NE100" s="168">
        <v>46500</v>
      </c>
      <c r="NF100" s="168">
        <v>61084</v>
      </c>
      <c r="NG100" s="168">
        <v>27896917</v>
      </c>
      <c r="NH100" s="168">
        <v>26709519</v>
      </c>
      <c r="NI100" s="21"/>
      <c r="NJ100" s="21"/>
      <c r="NK100" s="168">
        <v>1396204</v>
      </c>
      <c r="NL100" s="168">
        <v>1200743</v>
      </c>
      <c r="NM100" s="168">
        <v>62314370</v>
      </c>
      <c r="NN100" s="168">
        <v>62309876</v>
      </c>
      <c r="NO100" s="168">
        <v>94561674</v>
      </c>
      <c r="NP100" s="168">
        <v>90912192</v>
      </c>
      <c r="NQ100" s="168" t="s">
        <v>810</v>
      </c>
      <c r="NR100" s="168" t="s">
        <v>769</v>
      </c>
      <c r="NS100" s="168" t="s">
        <v>770</v>
      </c>
      <c r="NT100" s="168" t="s">
        <v>771</v>
      </c>
      <c r="NU100" s="168">
        <v>9401</v>
      </c>
      <c r="NV100" s="168" t="s">
        <v>2104</v>
      </c>
      <c r="NW100" s="168" t="s">
        <v>28</v>
      </c>
      <c r="NX100" s="168" t="s">
        <v>25</v>
      </c>
      <c r="NY100" s="169">
        <v>42855</v>
      </c>
      <c r="NZ100" s="169">
        <v>42490</v>
      </c>
      <c r="OA100" s="169">
        <v>43054</v>
      </c>
      <c r="OB100" s="168" t="s">
        <v>1559</v>
      </c>
      <c r="OC100" s="168">
        <v>12</v>
      </c>
      <c r="OD100" s="168" t="s">
        <v>2105</v>
      </c>
      <c r="OE100" s="168" t="s">
        <v>2637</v>
      </c>
      <c r="OF100" s="168" t="s">
        <v>2638</v>
      </c>
      <c r="OG100" s="168" t="s">
        <v>2087</v>
      </c>
      <c r="OH100" s="168" t="s">
        <v>808</v>
      </c>
      <c r="OI100" s="168" t="s">
        <v>766</v>
      </c>
      <c r="OJ100" s="168" t="s">
        <v>3240</v>
      </c>
      <c r="OK100" s="168" t="s">
        <v>767</v>
      </c>
    </row>
    <row r="101" spans="1:401" x14ac:dyDescent="0.2">
      <c r="A101" s="170" t="str">
        <f>Liste[[#This Row],[Siren]]</f>
        <v>440576742</v>
      </c>
      <c r="B101" s="198" t="str">
        <f>Liste[[#This Row],[Dénomination]]&amp;" - comptes "&amp;YEAR(Liste[[#This Row],[Date de cloture de l''exercice]])</f>
        <v>STA FINANCE - comptes 2017</v>
      </c>
      <c r="C101" s="21"/>
      <c r="D101" s="21"/>
      <c r="E101" s="168">
        <v>6000</v>
      </c>
      <c r="F101" s="168">
        <v>485000</v>
      </c>
      <c r="G101" s="168">
        <v>1134000</v>
      </c>
      <c r="H101" s="168">
        <v>491000</v>
      </c>
      <c r="I101" s="168">
        <v>1202000</v>
      </c>
      <c r="J101" s="168">
        <v>686000</v>
      </c>
      <c r="K101" s="168">
        <v>306000</v>
      </c>
      <c r="L101" s="168">
        <v>1888000</v>
      </c>
      <c r="M101" s="21"/>
      <c r="N101" s="168">
        <v>1000</v>
      </c>
      <c r="O101" s="21"/>
      <c r="P101" s="168">
        <v>1000</v>
      </c>
      <c r="Q101" s="168">
        <v>24000</v>
      </c>
      <c r="R101" s="168">
        <v>10000</v>
      </c>
      <c r="S101" s="168">
        <v>11000</v>
      </c>
      <c r="T101" s="168">
        <v>34000</v>
      </c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168">
        <v>115000</v>
      </c>
      <c r="BA101" s="168">
        <v>117000</v>
      </c>
      <c r="BB101" s="168">
        <v>115000</v>
      </c>
      <c r="BC101" s="168">
        <v>66000</v>
      </c>
      <c r="BD101" s="168">
        <v>399000</v>
      </c>
      <c r="BE101" s="168">
        <v>253000</v>
      </c>
      <c r="BF101" s="168">
        <v>465000</v>
      </c>
      <c r="BG101" s="168">
        <v>153000</v>
      </c>
      <c r="BH101" s="168">
        <v>3000</v>
      </c>
      <c r="BI101" s="168">
        <v>5000</v>
      </c>
      <c r="BJ101" s="168">
        <v>156000</v>
      </c>
      <c r="BK101" s="168">
        <v>8125000</v>
      </c>
      <c r="BL101" s="168">
        <v>8017000</v>
      </c>
      <c r="BM101" s="168">
        <v>8662000</v>
      </c>
      <c r="BN101" s="168">
        <v>16142000</v>
      </c>
      <c r="BO101" s="21"/>
      <c r="BP101" s="168">
        <v>300000</v>
      </c>
      <c r="BQ101" s="168">
        <v>296000</v>
      </c>
      <c r="BR101" s="168">
        <v>300000</v>
      </c>
      <c r="BS101" s="21"/>
      <c r="BT101" s="21"/>
      <c r="BU101" s="21"/>
      <c r="BV101" s="21"/>
      <c r="BW101" s="21"/>
      <c r="BX101" s="168">
        <v>2490000</v>
      </c>
      <c r="BY101" s="168">
        <v>2570000</v>
      </c>
      <c r="BZ101" s="168">
        <v>2490000</v>
      </c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168">
        <v>2161000</v>
      </c>
      <c r="CR101" s="168">
        <v>2161000</v>
      </c>
      <c r="CS101" s="168">
        <v>2161000</v>
      </c>
      <c r="CT101" s="21"/>
      <c r="CU101" s="21"/>
      <c r="CV101" s="21"/>
      <c r="CW101" s="21"/>
      <c r="CX101" s="21"/>
      <c r="CY101" s="21"/>
      <c r="CZ101" s="21"/>
      <c r="DA101" s="21"/>
      <c r="DB101" s="21"/>
      <c r="DC101" s="168">
        <v>3000</v>
      </c>
      <c r="DD101" s="168">
        <v>44000</v>
      </c>
      <c r="DE101" s="168">
        <v>3000</v>
      </c>
      <c r="DF101" s="168">
        <v>1581000</v>
      </c>
      <c r="DG101" s="168">
        <v>318000</v>
      </c>
      <c r="DH101" s="168">
        <v>347000</v>
      </c>
      <c r="DI101" s="168">
        <v>1899000</v>
      </c>
      <c r="DJ101" s="168">
        <v>449000</v>
      </c>
      <c r="DK101" s="168">
        <v>8152000</v>
      </c>
      <c r="DL101" s="168">
        <v>7893000</v>
      </c>
      <c r="DM101" s="168">
        <v>8601000</v>
      </c>
      <c r="DN101" s="21"/>
      <c r="DO101" s="168">
        <v>39000</v>
      </c>
      <c r="DP101" s="168">
        <v>33000</v>
      </c>
      <c r="DQ101" s="168">
        <v>39000</v>
      </c>
      <c r="DR101" s="21"/>
      <c r="DS101" s="168">
        <v>1084000</v>
      </c>
      <c r="DT101" s="168">
        <v>1078000</v>
      </c>
      <c r="DU101" s="168">
        <v>1084000</v>
      </c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168">
        <v>19135000</v>
      </c>
      <c r="EL101" s="168">
        <v>17536000</v>
      </c>
      <c r="EM101" s="168">
        <v>18300000</v>
      </c>
      <c r="EN101" s="168">
        <v>36671000</v>
      </c>
      <c r="EO101" s="168">
        <v>521000</v>
      </c>
      <c r="EP101" s="168">
        <v>10005000</v>
      </c>
      <c r="EQ101" s="168">
        <v>9990000</v>
      </c>
      <c r="ER101" s="168">
        <v>10526000</v>
      </c>
      <c r="ES101" s="168">
        <v>19656000</v>
      </c>
      <c r="ET101" s="168">
        <v>30031000</v>
      </c>
      <c r="EU101" s="168">
        <v>30860000</v>
      </c>
      <c r="EV101" s="168">
        <v>49687000</v>
      </c>
      <c r="EW101" s="168">
        <v>783000</v>
      </c>
      <c r="EX101" s="168">
        <v>2094000</v>
      </c>
      <c r="EY101" s="168">
        <v>2139000</v>
      </c>
      <c r="EZ101" s="168">
        <v>2877000</v>
      </c>
      <c r="FA101" s="21"/>
      <c r="FB101" s="21"/>
      <c r="FC101" s="21"/>
      <c r="FD101" s="21"/>
      <c r="FE101" s="21"/>
      <c r="FF101" s="21"/>
      <c r="FG101" s="21"/>
      <c r="FH101" s="21"/>
      <c r="FI101" s="168">
        <v>166000</v>
      </c>
      <c r="FJ101" s="168">
        <v>38000</v>
      </c>
      <c r="FK101" s="21"/>
      <c r="FL101" s="21"/>
      <c r="FM101" s="21"/>
      <c r="FN101" s="21"/>
      <c r="FO101" s="21"/>
      <c r="FP101" s="21"/>
      <c r="FQ101" s="168">
        <v>4000</v>
      </c>
      <c r="FR101" s="168">
        <v>8000</v>
      </c>
      <c r="FS101" s="21"/>
      <c r="FT101" s="21"/>
      <c r="FU101" s="168">
        <v>5000</v>
      </c>
      <c r="FV101" s="168">
        <v>-42000</v>
      </c>
      <c r="FW101" s="168">
        <v>728000</v>
      </c>
      <c r="FX101" s="168">
        <v>790000</v>
      </c>
      <c r="FY101" s="168">
        <v>7000</v>
      </c>
      <c r="FZ101" s="21"/>
      <c r="GA101" s="21"/>
      <c r="GB101" s="21"/>
      <c r="GC101" s="21"/>
      <c r="GD101" s="21"/>
      <c r="GE101" s="21"/>
      <c r="GF101" s="21"/>
      <c r="GG101" s="21"/>
      <c r="GH101" s="21"/>
      <c r="GI101" s="21"/>
      <c r="GJ101" s="21"/>
      <c r="GK101" s="21"/>
      <c r="GL101" s="21"/>
      <c r="GM101" s="168">
        <v>2101000</v>
      </c>
      <c r="GN101" s="168">
        <v>2162000</v>
      </c>
      <c r="GO101" s="168">
        <v>2170000</v>
      </c>
      <c r="GP101" s="21"/>
      <c r="GQ101" s="21"/>
      <c r="GR101" s="21"/>
      <c r="GS101" s="168">
        <v>2094000</v>
      </c>
      <c r="GT101" s="168">
        <v>2182000</v>
      </c>
      <c r="GU101" s="168">
        <v>7000</v>
      </c>
      <c r="GV101" s="168">
        <v>72000</v>
      </c>
      <c r="GW101" s="168">
        <v>211000</v>
      </c>
      <c r="GX101" s="168">
        <v>120000</v>
      </c>
      <c r="GY101" s="168">
        <v>54684000</v>
      </c>
      <c r="GZ101" s="168">
        <v>5239200</v>
      </c>
      <c r="HA101" s="21"/>
      <c r="HB101" s="21"/>
      <c r="HC101" s="168">
        <v>4015000</v>
      </c>
      <c r="HD101" s="168">
        <v>3878000</v>
      </c>
      <c r="HE101" s="21"/>
      <c r="HF101" s="21"/>
      <c r="HG101" s="21"/>
      <c r="HH101" s="21"/>
      <c r="HI101" s="168">
        <v>40000</v>
      </c>
      <c r="HJ101" s="168">
        <v>47000</v>
      </c>
      <c r="HK101" s="21"/>
      <c r="HL101" s="21"/>
      <c r="HM101" s="21"/>
      <c r="HN101" s="21"/>
      <c r="HO101" s="168">
        <v>1856000</v>
      </c>
      <c r="HP101" s="168">
        <v>1974000</v>
      </c>
      <c r="HQ101" s="21"/>
      <c r="HR101" s="21"/>
      <c r="HS101" s="21"/>
      <c r="HT101" s="21"/>
      <c r="HU101" s="21"/>
      <c r="HV101" s="21"/>
      <c r="HW101" s="21"/>
      <c r="HX101" s="21"/>
      <c r="HY101" s="21"/>
      <c r="HZ101" s="21"/>
      <c r="IA101" s="21"/>
      <c r="IB101" s="21"/>
      <c r="IC101" s="21"/>
      <c r="ID101" s="21"/>
      <c r="IE101" s="168">
        <v>1110000</v>
      </c>
      <c r="IF101" s="168">
        <v>908000</v>
      </c>
      <c r="IG101" s="21"/>
      <c r="IH101" s="21"/>
      <c r="II101" s="21"/>
      <c r="IJ101" s="21"/>
      <c r="IK101" s="21"/>
      <c r="IL101" s="21"/>
      <c r="IM101" s="21"/>
      <c r="IN101" s="21"/>
      <c r="IO101" s="21"/>
      <c r="IP101" s="21"/>
      <c r="IQ101" s="21"/>
      <c r="IR101" s="21"/>
      <c r="IS101" s="21"/>
      <c r="IT101" s="21"/>
      <c r="IU101" s="168">
        <v>2672000</v>
      </c>
      <c r="IV101" s="168">
        <v>2880000</v>
      </c>
      <c r="IW101" s="168">
        <v>2888000</v>
      </c>
      <c r="IX101" s="168">
        <v>3215000</v>
      </c>
      <c r="IY101" s="168">
        <v>-216000</v>
      </c>
      <c r="IZ101" s="168">
        <v>-335000</v>
      </c>
      <c r="JA101" s="21"/>
      <c r="JB101" s="21"/>
      <c r="JC101" s="21"/>
      <c r="JD101" s="21"/>
      <c r="JE101" s="21"/>
      <c r="JF101" s="21"/>
      <c r="JG101" s="168">
        <v>36000</v>
      </c>
      <c r="JH101" s="168">
        <v>24000</v>
      </c>
      <c r="JI101" s="168">
        <v>69077000</v>
      </c>
      <c r="JJ101" s="168">
        <v>66934000</v>
      </c>
      <c r="JK101" s="168">
        <v>297000</v>
      </c>
      <c r="JL101" s="168">
        <v>350000</v>
      </c>
      <c r="JM101" s="168">
        <v>71965000</v>
      </c>
      <c r="JN101" s="168">
        <v>70149000</v>
      </c>
      <c r="JO101" s="168">
        <v>81000</v>
      </c>
      <c r="JP101" s="168">
        <v>16000</v>
      </c>
      <c r="JQ101" s="168">
        <v>-286000</v>
      </c>
      <c r="JR101" s="168">
        <v>69000</v>
      </c>
      <c r="JS101" s="21"/>
      <c r="JT101" s="21"/>
      <c r="JU101" s="21"/>
      <c r="JV101" s="21"/>
      <c r="JW101" s="168">
        <v>71411000</v>
      </c>
      <c r="JX101" s="168">
        <v>69460000</v>
      </c>
      <c r="JY101" s="21"/>
      <c r="JZ101" s="21"/>
      <c r="KA101" s="21"/>
      <c r="KB101" s="21"/>
      <c r="KC101" s="21"/>
      <c r="KD101" s="21"/>
      <c r="KE101" s="21"/>
      <c r="KF101" s="21"/>
      <c r="KG101" s="21"/>
      <c r="KH101" s="21"/>
      <c r="KI101" s="21"/>
      <c r="KJ101" s="21"/>
      <c r="KK101" s="21"/>
      <c r="KL101" s="21"/>
      <c r="KM101" s="21"/>
      <c r="KN101" s="21"/>
      <c r="KO101" s="21"/>
      <c r="KP101" s="21"/>
      <c r="KQ101" s="168">
        <v>68000</v>
      </c>
      <c r="KR101" s="168">
        <v>496000</v>
      </c>
      <c r="KS101" s="21"/>
      <c r="KT101" s="21"/>
      <c r="KU101" s="21"/>
      <c r="KV101" s="21"/>
      <c r="KW101" s="21"/>
      <c r="KX101" s="21"/>
      <c r="KY101" s="168">
        <v>8000</v>
      </c>
      <c r="KZ101" s="168">
        <v>9000</v>
      </c>
      <c r="LA101" s="168">
        <v>38000</v>
      </c>
      <c r="LB101" s="168">
        <v>38000</v>
      </c>
      <c r="LC101" s="168">
        <v>8000</v>
      </c>
      <c r="LD101" s="168">
        <v>8000</v>
      </c>
      <c r="LE101" s="168">
        <v>7000</v>
      </c>
      <c r="LF101" s="21"/>
      <c r="LG101" s="21"/>
      <c r="LH101" s="21"/>
      <c r="LI101" s="168">
        <v>2401000</v>
      </c>
      <c r="LJ101" s="168">
        <v>1891000</v>
      </c>
      <c r="LK101" s="168">
        <v>5629000</v>
      </c>
      <c r="LL101" s="168">
        <v>5842000</v>
      </c>
      <c r="LM101" s="168">
        <v>47000</v>
      </c>
      <c r="LN101" s="168">
        <v>97000</v>
      </c>
      <c r="LO101" s="21"/>
      <c r="LP101" s="21"/>
      <c r="LQ101" s="21"/>
      <c r="LR101" s="21"/>
      <c r="LS101" s="21"/>
      <c r="LT101" s="21"/>
      <c r="LU101" s="21"/>
      <c r="LV101" s="21"/>
      <c r="LW101" s="21"/>
      <c r="LX101" s="21"/>
      <c r="LY101" s="21"/>
      <c r="LZ101" s="21"/>
      <c r="MA101" s="168">
        <v>8072000</v>
      </c>
      <c r="MB101" s="168">
        <v>9801000</v>
      </c>
      <c r="MC101" s="168">
        <v>9000</v>
      </c>
      <c r="MD101" s="168">
        <v>116000</v>
      </c>
      <c r="ME101" s="21"/>
      <c r="MF101" s="21"/>
      <c r="MG101" s="21"/>
      <c r="MH101" s="21"/>
      <c r="MI101" s="21"/>
      <c r="MJ101" s="21"/>
      <c r="MK101" s="21"/>
      <c r="ML101" s="21"/>
      <c r="MM101" s="168">
        <v>37000</v>
      </c>
      <c r="MN101" s="168">
        <v>11000</v>
      </c>
      <c r="MO101" s="21"/>
      <c r="MP101" s="21"/>
      <c r="MQ101" s="21"/>
      <c r="MR101" s="21"/>
      <c r="MS101" s="21"/>
      <c r="MT101" s="21"/>
      <c r="MU101" s="21"/>
      <c r="MV101" s="21"/>
      <c r="MW101" s="21"/>
      <c r="MX101" s="21"/>
      <c r="MY101" s="21"/>
      <c r="MZ101" s="21"/>
      <c r="NA101" s="21"/>
      <c r="NB101" s="21"/>
      <c r="NC101" s="168">
        <v>2094000</v>
      </c>
      <c r="ND101" s="168">
        <v>2162000</v>
      </c>
      <c r="NE101" s="21"/>
      <c r="NF101" s="21"/>
      <c r="NG101" s="168">
        <v>13225000</v>
      </c>
      <c r="NH101" s="168">
        <v>11284000</v>
      </c>
      <c r="NI101" s="21"/>
      <c r="NJ101" s="21"/>
      <c r="NK101" s="168">
        <v>15000</v>
      </c>
      <c r="NL101" s="168">
        <v>8</v>
      </c>
      <c r="NM101" s="168">
        <v>16366000</v>
      </c>
      <c r="NN101" s="168">
        <v>19192000</v>
      </c>
      <c r="NO101" s="168">
        <v>30031000</v>
      </c>
      <c r="NP101" s="168">
        <v>30880000</v>
      </c>
      <c r="NQ101" s="168" t="s">
        <v>1092</v>
      </c>
      <c r="NR101" s="168" t="s">
        <v>769</v>
      </c>
      <c r="NS101" s="168" t="s">
        <v>770</v>
      </c>
      <c r="NT101" s="168" t="s">
        <v>771</v>
      </c>
      <c r="NU101" s="168">
        <v>4601</v>
      </c>
      <c r="NV101" s="168" t="s">
        <v>2104</v>
      </c>
      <c r="NW101" s="168" t="s">
        <v>28</v>
      </c>
      <c r="NX101" s="168" t="s">
        <v>25</v>
      </c>
      <c r="NY101" s="169">
        <v>42855</v>
      </c>
      <c r="NZ101" s="169">
        <v>42490</v>
      </c>
      <c r="OA101" s="169">
        <v>43074</v>
      </c>
      <c r="OB101" s="168" t="s">
        <v>1093</v>
      </c>
      <c r="OC101" s="168">
        <v>12</v>
      </c>
      <c r="OD101" s="168" t="s">
        <v>2105</v>
      </c>
      <c r="OE101" s="168" t="s">
        <v>2213</v>
      </c>
      <c r="OF101" s="168" t="s">
        <v>2285</v>
      </c>
      <c r="OG101" s="168" t="s">
        <v>1876</v>
      </c>
      <c r="OH101" s="168" t="s">
        <v>1078</v>
      </c>
      <c r="OI101" s="168" t="s">
        <v>766</v>
      </c>
      <c r="OJ101" s="168" t="s">
        <v>3240</v>
      </c>
      <c r="OK101" s="168" t="s">
        <v>767</v>
      </c>
    </row>
    <row r="102" spans="1:401" x14ac:dyDescent="0.2">
      <c r="A102" s="170" t="str">
        <f>Liste[[#This Row],[Siren]]</f>
        <v>492347851</v>
      </c>
      <c r="B102" s="198" t="str">
        <f>Liste[[#This Row],[Dénomination]]&amp;" - comptes "&amp;YEAR(Liste[[#This Row],[Date de cloture de l''exercice]])</f>
        <v>NOALYS - comptes 2017</v>
      </c>
      <c r="C102" s="21"/>
      <c r="D102" s="21"/>
      <c r="E102" s="168">
        <v>265721</v>
      </c>
      <c r="F102" s="168">
        <v>4242087</v>
      </c>
      <c r="G102" s="168">
        <v>4863141</v>
      </c>
      <c r="H102" s="168">
        <v>4507808</v>
      </c>
      <c r="I102" s="168">
        <v>2630278</v>
      </c>
      <c r="J102" s="168">
        <v>1668304</v>
      </c>
      <c r="K102" s="168">
        <v>1343485</v>
      </c>
      <c r="L102" s="168">
        <v>4298582</v>
      </c>
      <c r="M102" s="21"/>
      <c r="N102" s="168">
        <v>600759</v>
      </c>
      <c r="O102" s="168">
        <v>687365</v>
      </c>
      <c r="P102" s="168">
        <v>600759</v>
      </c>
      <c r="Q102" s="168">
        <v>15958</v>
      </c>
      <c r="R102" s="168">
        <v>2747</v>
      </c>
      <c r="S102" s="21"/>
      <c r="T102" s="168">
        <v>18705</v>
      </c>
      <c r="U102" s="21"/>
      <c r="V102" s="21"/>
      <c r="W102" s="21"/>
      <c r="X102" s="21"/>
      <c r="Y102" s="21"/>
      <c r="Z102" s="168">
        <v>9068</v>
      </c>
      <c r="AA102" s="168">
        <v>12801</v>
      </c>
      <c r="AB102" s="168">
        <v>9068</v>
      </c>
      <c r="AC102" s="21"/>
      <c r="AD102" s="168">
        <v>343042</v>
      </c>
      <c r="AE102" s="168">
        <v>79541</v>
      </c>
      <c r="AF102" s="168">
        <v>343042</v>
      </c>
      <c r="AG102" s="21"/>
      <c r="AH102" s="21"/>
      <c r="AI102" s="21"/>
      <c r="AJ102" s="21"/>
      <c r="AK102" s="21"/>
      <c r="AL102" s="168">
        <v>66148</v>
      </c>
      <c r="AM102" s="168">
        <v>253043</v>
      </c>
      <c r="AN102" s="168">
        <v>66148</v>
      </c>
      <c r="AO102" s="21"/>
      <c r="AP102" s="21"/>
      <c r="AQ102" s="21"/>
      <c r="AR102" s="21"/>
      <c r="AS102" s="168">
        <v>5</v>
      </c>
      <c r="AT102" s="168">
        <v>5</v>
      </c>
      <c r="AU102" s="168">
        <v>5</v>
      </c>
      <c r="AV102" s="21"/>
      <c r="AW102" s="21"/>
      <c r="AX102" s="21"/>
      <c r="AY102" s="21"/>
      <c r="AZ102" s="168">
        <v>1330887</v>
      </c>
      <c r="BA102" s="168">
        <v>1134517</v>
      </c>
      <c r="BB102" s="168">
        <v>1330887</v>
      </c>
      <c r="BC102" s="168">
        <v>1334135</v>
      </c>
      <c r="BD102" s="168">
        <v>4118557</v>
      </c>
      <c r="BE102" s="168">
        <v>3624467</v>
      </c>
      <c r="BF102" s="168">
        <v>5452692</v>
      </c>
      <c r="BG102" s="168">
        <v>476530</v>
      </c>
      <c r="BH102" s="168">
        <v>98254</v>
      </c>
      <c r="BI102" s="168">
        <v>129476</v>
      </c>
      <c r="BJ102" s="168">
        <v>574784</v>
      </c>
      <c r="BK102" s="168">
        <v>22188631</v>
      </c>
      <c r="BL102" s="168">
        <v>32843796</v>
      </c>
      <c r="BM102" s="168">
        <v>35705371</v>
      </c>
      <c r="BN102" s="168">
        <v>55032427</v>
      </c>
      <c r="BO102" s="168">
        <v>3500</v>
      </c>
      <c r="BP102" s="168">
        <v>143750</v>
      </c>
      <c r="BQ102" s="168">
        <v>144254</v>
      </c>
      <c r="BR102" s="168">
        <v>147250</v>
      </c>
      <c r="BS102" s="21"/>
      <c r="BT102" s="21"/>
      <c r="BU102" s="21"/>
      <c r="BV102" s="21"/>
      <c r="BW102" s="21"/>
      <c r="BX102" s="168">
        <v>2025725</v>
      </c>
      <c r="BY102" s="168">
        <v>1179823</v>
      </c>
      <c r="BZ102" s="168">
        <v>2025725</v>
      </c>
      <c r="CA102" s="21"/>
      <c r="CB102" s="21"/>
      <c r="CC102" s="21"/>
      <c r="CD102" s="168">
        <v>6138758</v>
      </c>
      <c r="CE102" s="168">
        <v>6901215</v>
      </c>
      <c r="CF102" s="168">
        <v>7422468</v>
      </c>
      <c r="CG102" s="168">
        <v>13039973</v>
      </c>
      <c r="CH102" s="21"/>
      <c r="CI102" s="21"/>
      <c r="CJ102" s="21"/>
      <c r="CK102" s="21"/>
      <c r="CL102" s="21"/>
      <c r="CM102" s="21"/>
      <c r="CN102" s="21"/>
      <c r="CO102" s="21"/>
      <c r="CP102" s="168">
        <v>455612</v>
      </c>
      <c r="CQ102" s="168">
        <v>261113</v>
      </c>
      <c r="CR102" s="168">
        <v>268852</v>
      </c>
      <c r="CS102" s="168">
        <v>716725</v>
      </c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168">
        <v>8912459</v>
      </c>
      <c r="DG102" s="168">
        <v>1987374</v>
      </c>
      <c r="DH102" s="168">
        <v>1067570</v>
      </c>
      <c r="DI102" s="168">
        <v>10899833</v>
      </c>
      <c r="DJ102" s="21"/>
      <c r="DK102" s="21"/>
      <c r="DL102" s="21"/>
      <c r="DM102" s="21"/>
      <c r="DN102" s="21"/>
      <c r="DO102" s="168">
        <v>1177567</v>
      </c>
      <c r="DP102" s="168">
        <v>963183</v>
      </c>
      <c r="DQ102" s="168">
        <v>1177567</v>
      </c>
      <c r="DR102" s="168">
        <v>34040</v>
      </c>
      <c r="DS102" s="168">
        <v>162518</v>
      </c>
      <c r="DT102" s="168">
        <v>135411</v>
      </c>
      <c r="DU102" s="168">
        <v>196558</v>
      </c>
      <c r="DV102" s="21"/>
      <c r="DW102" s="168">
        <v>850</v>
      </c>
      <c r="DX102" s="21"/>
      <c r="DY102" s="168">
        <v>850</v>
      </c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168">
        <v>40855768</v>
      </c>
      <c r="EL102" s="168">
        <v>48656610</v>
      </c>
      <c r="EM102" s="168">
        <v>50642580</v>
      </c>
      <c r="EN102" s="168">
        <v>89512377</v>
      </c>
      <c r="EO102" s="168">
        <v>1600412</v>
      </c>
      <c r="EP102" s="168">
        <v>12964039</v>
      </c>
      <c r="EQ102" s="168">
        <v>12219089</v>
      </c>
      <c r="ER102" s="168">
        <v>14564452</v>
      </c>
      <c r="ES102" s="168">
        <v>42456180</v>
      </c>
      <c r="ET102" s="168">
        <v>61620654</v>
      </c>
      <c r="EU102" s="168">
        <v>62861673</v>
      </c>
      <c r="EV102" s="168">
        <v>104076835</v>
      </c>
      <c r="EW102" s="21"/>
      <c r="EX102" s="168">
        <v>3633819</v>
      </c>
      <c r="EY102" s="168">
        <v>3645986</v>
      </c>
      <c r="EZ102" s="168">
        <v>3633819</v>
      </c>
      <c r="FA102" s="21"/>
      <c r="FB102" s="21"/>
      <c r="FC102" s="21"/>
      <c r="FD102" s="21"/>
      <c r="FE102" s="168">
        <v>556</v>
      </c>
      <c r="FF102" s="168">
        <v>3067</v>
      </c>
      <c r="FG102" s="168">
        <v>200913</v>
      </c>
      <c r="FH102" s="168">
        <v>3624</v>
      </c>
      <c r="FI102" s="168">
        <v>442716</v>
      </c>
      <c r="FJ102" s="168">
        <v>1652982</v>
      </c>
      <c r="FK102" s="168">
        <v>-1296802</v>
      </c>
      <c r="FL102" s="168">
        <v>264474</v>
      </c>
      <c r="FM102" s="168">
        <v>-202664</v>
      </c>
      <c r="FN102" s="168">
        <v>-1586799</v>
      </c>
      <c r="FO102" s="168">
        <v>-195561</v>
      </c>
      <c r="FP102" s="168">
        <v>-4730265</v>
      </c>
      <c r="FQ102" s="168">
        <v>-779161</v>
      </c>
      <c r="FR102" s="168">
        <v>-507276</v>
      </c>
      <c r="FS102" s="21"/>
      <c r="FT102" s="21"/>
      <c r="FU102" s="21"/>
      <c r="FV102" s="21"/>
      <c r="FW102" s="168">
        <v>-22771</v>
      </c>
      <c r="FX102" s="168">
        <v>-438591</v>
      </c>
      <c r="FY102" s="168">
        <v>18443</v>
      </c>
      <c r="FZ102" s="168">
        <v>16928</v>
      </c>
      <c r="GA102" s="21"/>
      <c r="GB102" s="21"/>
      <c r="GC102" s="168">
        <v>49194</v>
      </c>
      <c r="GD102" s="168">
        <v>1267195</v>
      </c>
      <c r="GE102" s="168">
        <v>791748</v>
      </c>
      <c r="GF102" s="168">
        <v>6702851</v>
      </c>
      <c r="GG102" s="21"/>
      <c r="GH102" s="21"/>
      <c r="GI102" s="21"/>
      <c r="GJ102" s="21"/>
      <c r="GK102" s="21"/>
      <c r="GL102" s="21"/>
      <c r="GM102" s="21"/>
      <c r="GN102" s="21"/>
      <c r="GO102" s="168">
        <v>-2077963</v>
      </c>
      <c r="GP102" s="168">
        <v>-242802</v>
      </c>
      <c r="GQ102" s="21"/>
      <c r="GR102" s="21"/>
      <c r="GS102" s="168">
        <v>-2059519</v>
      </c>
      <c r="GT102" s="168">
        <v>-225874</v>
      </c>
      <c r="GU102" s="168">
        <v>-398225</v>
      </c>
      <c r="GV102" s="168">
        <v>-6317064</v>
      </c>
      <c r="GW102" s="168">
        <v>840941</v>
      </c>
      <c r="GX102" s="168">
        <v>7970046</v>
      </c>
      <c r="GY102" s="168">
        <v>850873</v>
      </c>
      <c r="GZ102" s="168">
        <v>854118</v>
      </c>
      <c r="HA102" s="168">
        <v>6417623</v>
      </c>
      <c r="HB102" s="168">
        <v>5327326</v>
      </c>
      <c r="HC102" s="168">
        <v>98630</v>
      </c>
      <c r="HD102" s="21"/>
      <c r="HE102" s="168">
        <v>153140</v>
      </c>
      <c r="HF102" s="168">
        <v>782284</v>
      </c>
      <c r="HG102" s="168">
        <v>872</v>
      </c>
      <c r="HH102" s="168">
        <v>4500</v>
      </c>
      <c r="HI102" s="168">
        <v>1642207</v>
      </c>
      <c r="HJ102" s="168">
        <v>1881955</v>
      </c>
      <c r="HK102" s="21"/>
      <c r="HL102" s="21"/>
      <c r="HM102" s="168">
        <v>-563</v>
      </c>
      <c r="HN102" s="168">
        <v>-181</v>
      </c>
      <c r="HO102" s="168">
        <v>5563235</v>
      </c>
      <c r="HP102" s="168">
        <v>4627111</v>
      </c>
      <c r="HQ102" s="21"/>
      <c r="HR102" s="21"/>
      <c r="HS102" s="21"/>
      <c r="HT102" s="21"/>
      <c r="HU102" s="168">
        <v>3785777</v>
      </c>
      <c r="HV102" s="168">
        <v>4109025</v>
      </c>
      <c r="HW102" s="21"/>
      <c r="HX102" s="21"/>
      <c r="HY102" s="21"/>
      <c r="HZ102" s="21"/>
      <c r="IA102" s="21"/>
      <c r="IB102" s="21"/>
      <c r="IC102" s="168">
        <v>-4056</v>
      </c>
      <c r="ID102" s="168">
        <v>-38615</v>
      </c>
      <c r="IE102" s="168">
        <v>2547091</v>
      </c>
      <c r="IF102" s="168">
        <v>2303040</v>
      </c>
      <c r="IG102" s="168">
        <v>-754810</v>
      </c>
      <c r="IH102" s="168">
        <v>-916175</v>
      </c>
      <c r="II102" s="21"/>
      <c r="IJ102" s="21"/>
      <c r="IK102" s="168">
        <v>97753</v>
      </c>
      <c r="IL102" s="21"/>
      <c r="IM102" s="21"/>
      <c r="IN102" s="21"/>
      <c r="IO102" s="168">
        <v>6712</v>
      </c>
      <c r="IP102" s="21"/>
      <c r="IQ102" s="168">
        <v>826</v>
      </c>
      <c r="IR102" s="168">
        <v>20179</v>
      </c>
      <c r="IS102" s="168">
        <v>1798</v>
      </c>
      <c r="IT102" s="168">
        <v>4357</v>
      </c>
      <c r="IU102" s="168">
        <v>-1718747</v>
      </c>
      <c r="IV102" s="168">
        <v>-949918</v>
      </c>
      <c r="IW102" s="168">
        <v>-996600</v>
      </c>
      <c r="IX102" s="168">
        <v>-23983</v>
      </c>
      <c r="IY102" s="168">
        <v>-722147</v>
      </c>
      <c r="IZ102" s="168">
        <v>-925935</v>
      </c>
      <c r="JA102" s="168">
        <v>899875</v>
      </c>
      <c r="JB102" s="168">
        <v>1245899</v>
      </c>
      <c r="JC102" s="168">
        <v>27074</v>
      </c>
      <c r="JD102" s="21"/>
      <c r="JE102" s="168">
        <v>15395348</v>
      </c>
      <c r="JF102" s="168">
        <v>12717509</v>
      </c>
      <c r="JG102" s="168">
        <v>460402</v>
      </c>
      <c r="JH102" s="168">
        <v>154947</v>
      </c>
      <c r="JI102" s="168">
        <v>51972832</v>
      </c>
      <c r="JJ102" s="168">
        <v>46527326</v>
      </c>
      <c r="JK102" s="168">
        <v>-759429</v>
      </c>
      <c r="JL102" s="168">
        <v>-954971</v>
      </c>
      <c r="JM102" s="168">
        <v>50976233</v>
      </c>
      <c r="JN102" s="168">
        <v>46503343</v>
      </c>
      <c r="JO102" s="168">
        <v>37282</v>
      </c>
      <c r="JP102" s="168">
        <v>29036</v>
      </c>
      <c r="JQ102" s="168">
        <v>7836</v>
      </c>
      <c r="JR102" s="168">
        <v>6314</v>
      </c>
      <c r="JS102" s="168">
        <v>-222219</v>
      </c>
      <c r="JT102" s="168">
        <v>-56253</v>
      </c>
      <c r="JU102" s="21"/>
      <c r="JV102" s="21"/>
      <c r="JW102" s="168">
        <v>47875995</v>
      </c>
      <c r="JX102" s="168">
        <v>43220542</v>
      </c>
      <c r="JY102" s="21"/>
      <c r="JZ102" s="21"/>
      <c r="KA102" s="168">
        <v>39885</v>
      </c>
      <c r="KB102" s="168">
        <v>67204</v>
      </c>
      <c r="KC102" s="21"/>
      <c r="KD102" s="21"/>
      <c r="KE102" s="168">
        <v>47798127</v>
      </c>
      <c r="KF102" s="168">
        <v>43087812</v>
      </c>
      <c r="KG102" s="21"/>
      <c r="KH102" s="21"/>
      <c r="KI102" s="168">
        <v>37984</v>
      </c>
      <c r="KJ102" s="168">
        <v>65526</v>
      </c>
      <c r="KK102" s="21"/>
      <c r="KL102" s="21"/>
      <c r="KM102" s="21"/>
      <c r="KN102" s="21"/>
      <c r="KO102" s="21"/>
      <c r="KP102" s="21"/>
      <c r="KQ102" s="168">
        <v>14775672</v>
      </c>
      <c r="KR102" s="168">
        <v>11656257</v>
      </c>
      <c r="KS102" s="168">
        <v>3383541</v>
      </c>
      <c r="KT102" s="168">
        <v>3309748</v>
      </c>
      <c r="KU102" s="168">
        <v>-17356462</v>
      </c>
      <c r="KV102" s="168">
        <v>-17125484</v>
      </c>
      <c r="KW102" s="21"/>
      <c r="KX102" s="21"/>
      <c r="KY102" s="168">
        <v>232497</v>
      </c>
      <c r="KZ102" s="168">
        <v>297766</v>
      </c>
      <c r="LA102" s="168">
        <v>15903591</v>
      </c>
      <c r="LB102" s="168">
        <v>15903591</v>
      </c>
      <c r="LC102" s="21"/>
      <c r="LD102" s="21"/>
      <c r="LE102" s="21"/>
      <c r="LF102" s="21"/>
      <c r="LG102" s="21"/>
      <c r="LH102" s="21"/>
      <c r="LI102" s="21"/>
      <c r="LJ102" s="21"/>
      <c r="LK102" s="21"/>
      <c r="LL102" s="21"/>
      <c r="LM102" s="21"/>
      <c r="LN102" s="21"/>
      <c r="LO102" s="21"/>
      <c r="LP102" s="21"/>
      <c r="LQ102" s="21"/>
      <c r="LR102" s="21"/>
      <c r="LS102" s="21"/>
      <c r="LT102" s="21"/>
      <c r="LU102" s="21"/>
      <c r="LV102" s="21"/>
      <c r="LW102" s="21"/>
      <c r="LX102" s="21"/>
      <c r="LY102" s="21"/>
      <c r="LZ102" s="21"/>
      <c r="MA102" s="168">
        <v>34335849</v>
      </c>
      <c r="MB102" s="168">
        <v>35682139</v>
      </c>
      <c r="MC102" s="168">
        <v>2964904</v>
      </c>
      <c r="MD102" s="168">
        <v>3958266</v>
      </c>
      <c r="ME102" s="21"/>
      <c r="MF102" s="21"/>
      <c r="MG102" s="21"/>
      <c r="MH102" s="21"/>
      <c r="MI102" s="168">
        <v>1132417</v>
      </c>
      <c r="MJ102" s="168">
        <v>1132417</v>
      </c>
      <c r="MK102" s="21"/>
      <c r="ML102" s="21"/>
      <c r="MM102" s="168">
        <v>5813531</v>
      </c>
      <c r="MN102" s="168">
        <v>6327430</v>
      </c>
      <c r="MO102" s="168">
        <v>1717498</v>
      </c>
      <c r="MP102" s="168">
        <v>1211572</v>
      </c>
      <c r="MQ102" s="168">
        <v>740147</v>
      </c>
      <c r="MR102" s="168">
        <v>676265</v>
      </c>
      <c r="MS102" s="21"/>
      <c r="MT102" s="21"/>
      <c r="MU102" s="21"/>
      <c r="MV102" s="21"/>
      <c r="MW102" s="21"/>
      <c r="MX102" s="21"/>
      <c r="MY102" s="21"/>
      <c r="MZ102" s="21"/>
      <c r="NA102" s="21"/>
      <c r="NB102" s="21"/>
      <c r="NC102" s="168">
        <v>-2059519</v>
      </c>
      <c r="ND102" s="168">
        <v>-225874</v>
      </c>
      <c r="NE102" s="21"/>
      <c r="NF102" s="21"/>
      <c r="NG102" s="168">
        <v>-2379973</v>
      </c>
      <c r="NH102" s="168">
        <v>-315349</v>
      </c>
      <c r="NI102" s="21"/>
      <c r="NJ102" s="21"/>
      <c r="NK102" s="21"/>
      <c r="NL102" s="21"/>
      <c r="NM102" s="21"/>
      <c r="NN102" s="21"/>
      <c r="NO102" s="168">
        <v>61620654</v>
      </c>
      <c r="NP102" s="168">
        <v>62861673</v>
      </c>
      <c r="NQ102" s="168" t="s">
        <v>1034</v>
      </c>
      <c r="NR102" s="168" t="s">
        <v>769</v>
      </c>
      <c r="NS102" s="168" t="s">
        <v>770</v>
      </c>
      <c r="NT102" s="168" t="s">
        <v>771</v>
      </c>
      <c r="NU102" s="168">
        <v>6901</v>
      </c>
      <c r="NV102" s="168" t="s">
        <v>2104</v>
      </c>
      <c r="NW102" s="168" t="s">
        <v>28</v>
      </c>
      <c r="NX102" s="168" t="s">
        <v>25</v>
      </c>
      <c r="NY102" s="169">
        <v>42855</v>
      </c>
      <c r="NZ102" s="169">
        <v>42490</v>
      </c>
      <c r="OA102" s="169">
        <v>43077</v>
      </c>
      <c r="OB102" s="168" t="s">
        <v>1438</v>
      </c>
      <c r="OC102" s="168">
        <v>12</v>
      </c>
      <c r="OD102" s="168" t="s">
        <v>2106</v>
      </c>
      <c r="OE102" s="168" t="s">
        <v>1439</v>
      </c>
      <c r="OF102" s="168" t="s">
        <v>2541</v>
      </c>
      <c r="OG102" s="168" t="s">
        <v>2018</v>
      </c>
      <c r="OH102" s="168" t="s">
        <v>819</v>
      </c>
      <c r="OI102" s="168" t="s">
        <v>766</v>
      </c>
      <c r="OJ102" s="168" t="s">
        <v>3240</v>
      </c>
      <c r="OK102" s="168" t="s">
        <v>767</v>
      </c>
    </row>
    <row r="103" spans="1:401" x14ac:dyDescent="0.2">
      <c r="A103" s="170" t="str">
        <f>Liste[[#This Row],[Siren]]</f>
        <v>418664041</v>
      </c>
      <c r="B103" s="198" t="str">
        <f>Liste[[#This Row],[Dénomination]]&amp;" - comptes "&amp;YEAR(Liste[[#This Row],[Date de cloture de l''exercice]])</f>
        <v>CABAJUFI - comptes 2017</v>
      </c>
      <c r="C103" s="21"/>
      <c r="D103" s="21"/>
      <c r="E103" s="21"/>
      <c r="F103" s="168">
        <v>1362834</v>
      </c>
      <c r="G103" s="168">
        <v>1580134</v>
      </c>
      <c r="H103" s="21"/>
      <c r="I103" s="21"/>
      <c r="J103" s="168">
        <v>541596</v>
      </c>
      <c r="K103" s="168">
        <v>114959</v>
      </c>
      <c r="L103" s="21"/>
      <c r="M103" s="21"/>
      <c r="N103" s="168">
        <v>133668</v>
      </c>
      <c r="O103" s="168">
        <v>144111</v>
      </c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168">
        <v>474623</v>
      </c>
      <c r="BE103" s="168">
        <v>721202</v>
      </c>
      <c r="BF103" s="21"/>
      <c r="BG103" s="21"/>
      <c r="BH103" s="168">
        <v>2657</v>
      </c>
      <c r="BI103" s="21"/>
      <c r="BJ103" s="21"/>
      <c r="BK103" s="21"/>
      <c r="BL103" s="168">
        <v>5846214</v>
      </c>
      <c r="BM103" s="168">
        <v>2514028</v>
      </c>
      <c r="BN103" s="21"/>
      <c r="BO103" s="21"/>
      <c r="BP103" s="168">
        <v>384432</v>
      </c>
      <c r="BQ103" s="168">
        <v>389776</v>
      </c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168">
        <v>112168</v>
      </c>
      <c r="CF103" s="168">
        <v>140211</v>
      </c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168">
        <v>2321805</v>
      </c>
      <c r="DH103" s="168">
        <v>320235</v>
      </c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168">
        <v>10413572</v>
      </c>
      <c r="EM103" s="168">
        <v>6458532</v>
      </c>
      <c r="EN103" s="21"/>
      <c r="EO103" s="21"/>
      <c r="EP103" s="168">
        <v>14609675</v>
      </c>
      <c r="EQ103" s="168">
        <v>12136554</v>
      </c>
      <c r="ER103" s="21"/>
      <c r="ES103" s="21"/>
      <c r="ET103" s="168">
        <v>25023247</v>
      </c>
      <c r="EU103" s="168">
        <v>18571406</v>
      </c>
      <c r="EV103" s="21"/>
      <c r="EW103" s="21"/>
      <c r="EX103" s="168">
        <v>1070332</v>
      </c>
      <c r="EY103" s="168">
        <v>1070332</v>
      </c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168">
        <v>-227776</v>
      </c>
      <c r="FN103" s="168">
        <v>-105386</v>
      </c>
      <c r="FO103" s="21"/>
      <c r="FP103" s="21"/>
      <c r="FQ103" s="168">
        <v>-28043</v>
      </c>
      <c r="FR103" s="168">
        <v>-28043</v>
      </c>
      <c r="FS103" s="21"/>
      <c r="FT103" s="21"/>
      <c r="FU103" s="168">
        <v>-134703</v>
      </c>
      <c r="FV103" s="168">
        <v>-19441</v>
      </c>
      <c r="FW103" s="168">
        <v>-506266</v>
      </c>
      <c r="FX103" s="168">
        <v>-834416</v>
      </c>
      <c r="FY103" s="168">
        <v>474</v>
      </c>
      <c r="FZ103" s="168">
        <v>336</v>
      </c>
      <c r="GA103" s="21"/>
      <c r="GB103" s="21"/>
      <c r="GC103" s="168">
        <v>120489</v>
      </c>
      <c r="GD103" s="168">
        <v>89412</v>
      </c>
      <c r="GE103" s="21"/>
      <c r="GF103" s="21"/>
      <c r="GG103" s="21"/>
      <c r="GH103" s="21"/>
      <c r="GI103" s="21"/>
      <c r="GJ103" s="21"/>
      <c r="GK103" s="21"/>
      <c r="GL103" s="21"/>
      <c r="GM103" s="168">
        <v>1123569</v>
      </c>
      <c r="GN103" s="168">
        <v>1804514</v>
      </c>
      <c r="GO103" s="21"/>
      <c r="GP103" s="21"/>
      <c r="GQ103" s="21"/>
      <c r="GR103" s="21"/>
      <c r="GS103" s="21"/>
      <c r="GT103" s="21"/>
      <c r="GU103" s="168">
        <v>-396809</v>
      </c>
      <c r="GV103" s="168">
        <v>-383179</v>
      </c>
      <c r="GW103" s="168">
        <v>268847</v>
      </c>
      <c r="GX103" s="168">
        <v>368278</v>
      </c>
      <c r="GY103" s="168">
        <v>-42555671</v>
      </c>
      <c r="GZ103" s="168">
        <v>-42764919</v>
      </c>
      <c r="HA103" s="168">
        <v>-118326</v>
      </c>
      <c r="HB103" s="168">
        <v>36671</v>
      </c>
      <c r="HC103" s="168">
        <v>-5171934</v>
      </c>
      <c r="HD103" s="168">
        <v>-5217434</v>
      </c>
      <c r="HE103" s="168">
        <v>-8951</v>
      </c>
      <c r="HF103" s="168">
        <v>-21112</v>
      </c>
      <c r="HG103" s="21"/>
      <c r="HH103" s="21"/>
      <c r="HI103" s="168">
        <v>12371</v>
      </c>
      <c r="HJ103" s="168">
        <v>8462</v>
      </c>
      <c r="HK103" s="21"/>
      <c r="HL103" s="21"/>
      <c r="HM103" s="21"/>
      <c r="HN103" s="21"/>
      <c r="HO103" s="21"/>
      <c r="HP103" s="21"/>
      <c r="HQ103" s="21"/>
      <c r="HR103" s="21"/>
      <c r="HS103" s="21"/>
      <c r="HT103" s="21"/>
      <c r="HU103" s="168">
        <v>-1059874</v>
      </c>
      <c r="HV103" s="168">
        <v>-581979</v>
      </c>
      <c r="HW103" s="21"/>
      <c r="HX103" s="21"/>
      <c r="HY103" s="168">
        <v>-19936</v>
      </c>
      <c r="HZ103" s="168">
        <v>-2603</v>
      </c>
      <c r="IA103" s="21"/>
      <c r="IB103" s="168">
        <v>-5950</v>
      </c>
      <c r="IC103" s="21"/>
      <c r="ID103" s="21"/>
      <c r="IE103" s="168">
        <v>-664382</v>
      </c>
      <c r="IF103" s="168">
        <v>-654947</v>
      </c>
      <c r="IG103" s="168">
        <v>-68226</v>
      </c>
      <c r="IH103" s="168">
        <v>-25726</v>
      </c>
      <c r="II103" s="21"/>
      <c r="IJ103" s="21"/>
      <c r="IK103" s="21"/>
      <c r="IL103" s="21"/>
      <c r="IM103" s="21"/>
      <c r="IN103" s="21"/>
      <c r="IO103" s="21"/>
      <c r="IP103" s="21"/>
      <c r="IQ103" s="21"/>
      <c r="IR103" s="21"/>
      <c r="IS103" s="168">
        <v>9</v>
      </c>
      <c r="IT103" s="168">
        <v>1257</v>
      </c>
      <c r="IU103" s="21"/>
      <c r="IV103" s="21"/>
      <c r="IW103" s="21"/>
      <c r="IX103" s="21"/>
      <c r="IY103" s="21"/>
      <c r="IZ103" s="21"/>
      <c r="JA103" s="168">
        <v>302578</v>
      </c>
      <c r="JB103" s="168">
        <v>415670</v>
      </c>
      <c r="JC103" s="21"/>
      <c r="JD103" s="21"/>
      <c r="JE103" s="21"/>
      <c r="JF103" s="21"/>
      <c r="JG103" s="168">
        <v>42376</v>
      </c>
      <c r="JH103" s="168">
        <v>38140</v>
      </c>
      <c r="JI103" s="168">
        <v>-55114372</v>
      </c>
      <c r="JJ103" s="168">
        <v>-55578766</v>
      </c>
      <c r="JK103" s="168">
        <v>-68226</v>
      </c>
      <c r="JL103" s="168">
        <v>-25726</v>
      </c>
      <c r="JM103" s="168">
        <v>57044464</v>
      </c>
      <c r="JN103" s="168">
        <v>58208382</v>
      </c>
      <c r="JO103" s="168">
        <v>59151</v>
      </c>
      <c r="JP103" s="168">
        <v>97761</v>
      </c>
      <c r="JQ103" s="168">
        <v>344381</v>
      </c>
      <c r="JR103" s="168">
        <v>-286293</v>
      </c>
      <c r="JS103" s="168">
        <v>9418</v>
      </c>
      <c r="JT103" s="168">
        <v>-5654</v>
      </c>
      <c r="JU103" s="21"/>
      <c r="JV103" s="21"/>
      <c r="JW103" s="168">
        <v>56687139</v>
      </c>
      <c r="JX103" s="168">
        <v>57746110</v>
      </c>
      <c r="JY103" s="21"/>
      <c r="JZ103" s="21"/>
      <c r="KA103" s="21"/>
      <c r="KB103" s="21"/>
      <c r="KC103" s="21"/>
      <c r="KD103" s="21"/>
      <c r="KE103" s="168">
        <v>1073146</v>
      </c>
      <c r="KF103" s="168">
        <v>1036239</v>
      </c>
      <c r="KG103" s="21"/>
      <c r="KH103" s="21"/>
      <c r="KI103" s="168">
        <v>55613993</v>
      </c>
      <c r="KJ103" s="168">
        <v>56709871</v>
      </c>
      <c r="KK103" s="168">
        <v>113247</v>
      </c>
      <c r="KL103" s="168">
        <v>4201</v>
      </c>
      <c r="KM103" s="21"/>
      <c r="KN103" s="21"/>
      <c r="KO103" s="21"/>
      <c r="KP103" s="21"/>
      <c r="KQ103" s="168">
        <v>63813</v>
      </c>
      <c r="KR103" s="168">
        <v>8981</v>
      </c>
      <c r="KS103" s="21"/>
      <c r="KT103" s="21"/>
      <c r="KU103" s="21"/>
      <c r="KV103" s="21"/>
      <c r="KW103" s="21"/>
      <c r="KX103" s="21"/>
      <c r="KY103" s="21"/>
      <c r="KZ103" s="21"/>
      <c r="LA103" s="168">
        <v>650500</v>
      </c>
      <c r="LB103" s="168">
        <v>650500</v>
      </c>
      <c r="LC103" s="21"/>
      <c r="LD103" s="21"/>
      <c r="LE103" s="168">
        <v>474</v>
      </c>
      <c r="LF103" s="168">
        <v>336</v>
      </c>
      <c r="LG103" s="21"/>
      <c r="LH103" s="21"/>
      <c r="LI103" s="168">
        <v>1965862</v>
      </c>
      <c r="LJ103" s="168">
        <v>2240415</v>
      </c>
      <c r="LK103" s="168">
        <v>4684275</v>
      </c>
      <c r="LL103" s="168">
        <v>4592238</v>
      </c>
      <c r="LM103" s="21"/>
      <c r="LN103" s="168">
        <v>792381</v>
      </c>
      <c r="LO103" s="21"/>
      <c r="LP103" s="21"/>
      <c r="LQ103" s="21"/>
      <c r="LR103" s="21"/>
      <c r="LS103" s="21"/>
      <c r="LT103" s="21"/>
      <c r="LU103" s="21"/>
      <c r="LV103" s="21"/>
      <c r="LW103" s="21"/>
      <c r="LX103" s="21"/>
      <c r="LY103" s="21"/>
      <c r="LZ103" s="21"/>
      <c r="MA103" s="168">
        <v>8704026</v>
      </c>
      <c r="MB103" s="168">
        <v>1562456</v>
      </c>
      <c r="MC103" s="168">
        <v>66017</v>
      </c>
      <c r="MD103" s="168">
        <v>58960</v>
      </c>
      <c r="ME103" s="21"/>
      <c r="MF103" s="21"/>
      <c r="MG103" s="21"/>
      <c r="MH103" s="21"/>
      <c r="MI103" s="21"/>
      <c r="MJ103" s="21"/>
      <c r="MK103" s="21"/>
      <c r="ML103" s="21"/>
      <c r="MM103" s="21"/>
      <c r="MN103" s="21"/>
      <c r="MO103" s="21"/>
      <c r="MP103" s="21"/>
      <c r="MQ103" s="21"/>
      <c r="MR103" s="168">
        <v>15000</v>
      </c>
      <c r="MS103" s="21"/>
      <c r="MT103" s="21"/>
      <c r="MU103" s="21"/>
      <c r="MV103" s="21"/>
      <c r="MW103" s="168">
        <v>7464613</v>
      </c>
      <c r="MX103" s="168">
        <v>6660095</v>
      </c>
      <c r="MY103" s="21"/>
      <c r="MZ103" s="21"/>
      <c r="NA103" s="21"/>
      <c r="NB103" s="21"/>
      <c r="NC103" s="168">
        <v>1123569</v>
      </c>
      <c r="ND103" s="168">
        <v>1804514</v>
      </c>
      <c r="NE103" s="21"/>
      <c r="NF103" s="21"/>
      <c r="NG103" s="168">
        <v>9238682</v>
      </c>
      <c r="NH103" s="168">
        <v>9115109</v>
      </c>
      <c r="NI103" s="21"/>
      <c r="NJ103" s="21"/>
      <c r="NK103" s="168">
        <v>1161</v>
      </c>
      <c r="NL103" s="168">
        <v>1023</v>
      </c>
      <c r="NM103" s="168">
        <v>15483993</v>
      </c>
      <c r="NN103" s="168">
        <v>9255431</v>
      </c>
      <c r="NO103" s="168">
        <v>15629243</v>
      </c>
      <c r="NP103" s="168">
        <v>15533096</v>
      </c>
      <c r="NQ103" s="168" t="s">
        <v>1313</v>
      </c>
      <c r="NR103" s="168" t="s">
        <v>802</v>
      </c>
      <c r="NS103" s="168" t="s">
        <v>770</v>
      </c>
      <c r="NT103" s="168" t="s">
        <v>771</v>
      </c>
      <c r="NU103" s="168">
        <v>4302</v>
      </c>
      <c r="NV103" s="168" t="s">
        <v>2104</v>
      </c>
      <c r="NW103" s="168" t="s">
        <v>28</v>
      </c>
      <c r="NX103" s="168" t="s">
        <v>25</v>
      </c>
      <c r="NY103" s="169">
        <v>42855</v>
      </c>
      <c r="NZ103" s="169">
        <v>42490</v>
      </c>
      <c r="OA103" s="169">
        <v>43046</v>
      </c>
      <c r="OB103" s="168" t="s">
        <v>1314</v>
      </c>
      <c r="OC103" s="168">
        <v>12</v>
      </c>
      <c r="OD103" s="168" t="s">
        <v>2105</v>
      </c>
      <c r="OE103" s="168" t="s">
        <v>1465</v>
      </c>
      <c r="OF103" s="168" t="s">
        <v>2455</v>
      </c>
      <c r="OG103" s="168" t="s">
        <v>1966</v>
      </c>
      <c r="OH103" s="168" t="s">
        <v>1184</v>
      </c>
      <c r="OI103" s="168" t="s">
        <v>766</v>
      </c>
      <c r="OJ103" s="168" t="s">
        <v>3240</v>
      </c>
      <c r="OK103" s="168" t="s">
        <v>801</v>
      </c>
    </row>
    <row r="104" spans="1:401" x14ac:dyDescent="0.2">
      <c r="A104" s="170" t="str">
        <f>Liste[[#This Row],[Siren]]</f>
        <v>532153442</v>
      </c>
      <c r="B104" s="198" t="str">
        <f>Liste[[#This Row],[Dénomination]]&amp;" - comptes "&amp;YEAR(Liste[[#This Row],[Date de cloture de l''exercice]])</f>
        <v>ROMANDIS II - comptes 2017</v>
      </c>
      <c r="C104" s="21"/>
      <c r="D104" s="21"/>
      <c r="E104" s="21"/>
      <c r="F104" s="168">
        <v>3206584</v>
      </c>
      <c r="G104" s="168">
        <v>2817488</v>
      </c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168">
        <v>150466</v>
      </c>
      <c r="BE104" s="168">
        <v>157677</v>
      </c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168">
        <v>1297108</v>
      </c>
      <c r="BY104" s="168">
        <v>1992973</v>
      </c>
      <c r="BZ104" s="21"/>
      <c r="CA104" s="21"/>
      <c r="CB104" s="21"/>
      <c r="CC104" s="21"/>
      <c r="CD104" s="21"/>
      <c r="CE104" s="168">
        <v>1683479</v>
      </c>
      <c r="CF104" s="168">
        <v>1805823</v>
      </c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168">
        <v>30490320</v>
      </c>
      <c r="EM104" s="168">
        <v>31161906</v>
      </c>
      <c r="EN104" s="21"/>
      <c r="EO104" s="21"/>
      <c r="EP104" s="168">
        <v>10990664</v>
      </c>
      <c r="EQ104" s="168">
        <v>11105938</v>
      </c>
      <c r="ER104" s="21"/>
      <c r="ES104" s="21"/>
      <c r="ET104" s="168">
        <v>41480984</v>
      </c>
      <c r="EU104" s="168">
        <v>42267844</v>
      </c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168">
        <v>259</v>
      </c>
      <c r="FH104" s="21"/>
      <c r="FI104" s="168">
        <v>64711</v>
      </c>
      <c r="FJ104" s="168">
        <v>279461</v>
      </c>
      <c r="FK104" s="21"/>
      <c r="FL104" s="21"/>
      <c r="FM104" s="21"/>
      <c r="FN104" s="21"/>
      <c r="FO104" s="21"/>
      <c r="FP104" s="21"/>
      <c r="FQ104" s="168">
        <v>122344</v>
      </c>
      <c r="FR104" s="168">
        <v>112148</v>
      </c>
      <c r="FS104" s="21"/>
      <c r="FT104" s="21"/>
      <c r="FU104" s="168">
        <v>-87159</v>
      </c>
      <c r="FV104" s="168">
        <v>-123408</v>
      </c>
      <c r="FW104" s="168">
        <v>129647</v>
      </c>
      <c r="FX104" s="168">
        <v>72006</v>
      </c>
      <c r="FY104" s="168">
        <v>212</v>
      </c>
      <c r="FZ104" s="168">
        <v>45</v>
      </c>
      <c r="GA104" s="21"/>
      <c r="GB104" s="21"/>
      <c r="GC104" s="21"/>
      <c r="GD104" s="21"/>
      <c r="GE104" s="21"/>
      <c r="GF104" s="21"/>
      <c r="GG104" s="21"/>
      <c r="GH104" s="21"/>
      <c r="GI104" s="21"/>
      <c r="GJ104" s="21"/>
      <c r="GK104" s="21"/>
      <c r="GL104" s="21"/>
      <c r="GM104" s="168">
        <v>1002768</v>
      </c>
      <c r="GN104" s="168">
        <v>819051</v>
      </c>
      <c r="GO104" s="168">
        <v>1125112</v>
      </c>
      <c r="GP104" s="168">
        <v>931199</v>
      </c>
      <c r="GQ104" s="21"/>
      <c r="GR104" s="21"/>
      <c r="GS104" s="168">
        <v>1002556</v>
      </c>
      <c r="GT104" s="168">
        <v>819006</v>
      </c>
      <c r="GU104" s="21"/>
      <c r="GV104" s="21"/>
      <c r="GW104" s="21"/>
      <c r="GX104" s="21"/>
      <c r="GY104" s="21"/>
      <c r="GZ104" s="21"/>
      <c r="HA104" s="21"/>
      <c r="HB104" s="21"/>
      <c r="HC104" s="21"/>
      <c r="HD104" s="21"/>
      <c r="HE104" s="168">
        <v>4879987</v>
      </c>
      <c r="HF104" s="168">
        <v>4063182</v>
      </c>
      <c r="HG104" s="21"/>
      <c r="HH104" s="21"/>
      <c r="HI104" s="168">
        <v>763139</v>
      </c>
      <c r="HJ104" s="168">
        <v>427869</v>
      </c>
      <c r="HK104" s="21"/>
      <c r="HL104" s="21"/>
      <c r="HM104" s="21"/>
      <c r="HN104" s="21"/>
      <c r="HO104" s="21"/>
      <c r="HP104" s="21"/>
      <c r="HQ104" s="21"/>
      <c r="HR104" s="21"/>
      <c r="HS104" s="21"/>
      <c r="HT104" s="21"/>
      <c r="HU104" s="21"/>
      <c r="HV104" s="21"/>
      <c r="HW104" s="21"/>
      <c r="HX104" s="21"/>
      <c r="HY104" s="21"/>
      <c r="HZ104" s="21"/>
      <c r="IA104" s="21"/>
      <c r="IB104" s="21"/>
      <c r="IC104" s="21"/>
      <c r="ID104" s="21"/>
      <c r="IE104" s="168">
        <v>1174084</v>
      </c>
      <c r="IF104" s="168">
        <v>973090</v>
      </c>
      <c r="IG104" s="21"/>
      <c r="IH104" s="21"/>
      <c r="II104" s="21"/>
      <c r="IJ104" s="21"/>
      <c r="IK104" s="21"/>
      <c r="IL104" s="21"/>
      <c r="IM104" s="21"/>
      <c r="IN104" s="21"/>
      <c r="IO104" s="21"/>
      <c r="IP104" s="21"/>
      <c r="IQ104" s="21"/>
      <c r="IR104" s="21"/>
      <c r="IS104" s="21"/>
      <c r="IT104" s="21"/>
      <c r="IU104" s="168">
        <v>1102889</v>
      </c>
      <c r="IV104" s="168">
        <v>600336</v>
      </c>
      <c r="IW104" s="168">
        <v>1857533</v>
      </c>
      <c r="IX104" s="168">
        <v>1231462</v>
      </c>
      <c r="IY104" s="168">
        <v>-754644</v>
      </c>
      <c r="IZ104" s="168">
        <v>-631126</v>
      </c>
      <c r="JA104" s="21"/>
      <c r="JB104" s="21"/>
      <c r="JC104" s="21"/>
      <c r="JD104" s="21"/>
      <c r="JE104" s="21"/>
      <c r="JF104" s="21"/>
      <c r="JG104" s="21"/>
      <c r="JH104" s="21"/>
      <c r="JI104" s="168">
        <v>79871231</v>
      </c>
      <c r="JJ104" s="168">
        <v>69344398</v>
      </c>
      <c r="JK104" s="21"/>
      <c r="JL104" s="21"/>
      <c r="JM104" s="168">
        <v>81728764</v>
      </c>
      <c r="JN104" s="168">
        <v>70575860</v>
      </c>
      <c r="JO104" s="21"/>
      <c r="JP104" s="21"/>
      <c r="JQ104" s="21"/>
      <c r="JR104" s="21"/>
      <c r="JS104" s="21"/>
      <c r="JT104" s="21"/>
      <c r="JU104" s="21"/>
      <c r="JV104" s="21"/>
      <c r="JW104" s="168">
        <v>80965625</v>
      </c>
      <c r="JX104" s="168">
        <v>70147991</v>
      </c>
      <c r="JY104" s="21"/>
      <c r="JZ104" s="21"/>
      <c r="KA104" s="21"/>
      <c r="KB104" s="21"/>
      <c r="KC104" s="21"/>
      <c r="KD104" s="21"/>
      <c r="KE104" s="21"/>
      <c r="KF104" s="21"/>
      <c r="KG104" s="21"/>
      <c r="KH104" s="21"/>
      <c r="KI104" s="21"/>
      <c r="KJ104" s="21"/>
      <c r="KK104" s="21"/>
      <c r="KL104" s="21"/>
      <c r="KM104" s="21"/>
      <c r="KN104" s="21"/>
      <c r="KO104" s="21"/>
      <c r="KP104" s="21"/>
      <c r="KQ104" s="168">
        <v>3166521</v>
      </c>
      <c r="KR104" s="168">
        <v>2974805</v>
      </c>
      <c r="KS104" s="21"/>
      <c r="KT104" s="21"/>
      <c r="KU104" s="21"/>
      <c r="KV104" s="21"/>
      <c r="KW104" s="21"/>
      <c r="KX104" s="21"/>
      <c r="KY104" s="21"/>
      <c r="KZ104" s="21"/>
      <c r="LA104" s="168">
        <v>10000</v>
      </c>
      <c r="LB104" s="168">
        <v>10000</v>
      </c>
      <c r="LC104" s="21"/>
      <c r="LD104" s="21"/>
      <c r="LE104" s="21"/>
      <c r="LF104" s="21"/>
      <c r="LG104" s="21"/>
      <c r="LH104" s="21"/>
      <c r="LI104" s="21"/>
      <c r="LJ104" s="21"/>
      <c r="LK104" s="168">
        <v>6533243</v>
      </c>
      <c r="LL104" s="168">
        <v>6132892</v>
      </c>
      <c r="LM104" s="21"/>
      <c r="LN104" s="21"/>
      <c r="LO104" s="21"/>
      <c r="LP104" s="21"/>
      <c r="LQ104" s="21"/>
      <c r="LR104" s="21"/>
      <c r="LS104" s="21"/>
      <c r="LT104" s="21"/>
      <c r="LU104" s="21"/>
      <c r="LV104" s="21"/>
      <c r="LW104" s="21"/>
      <c r="LX104" s="21"/>
      <c r="LY104" s="21"/>
      <c r="LZ104" s="21"/>
      <c r="MA104" s="21"/>
      <c r="MB104" s="21"/>
      <c r="MC104" s="168">
        <v>25873808</v>
      </c>
      <c r="MD104" s="168">
        <v>27868289</v>
      </c>
      <c r="ME104" s="21"/>
      <c r="MF104" s="21"/>
      <c r="MG104" s="21"/>
      <c r="MH104" s="21"/>
      <c r="MI104" s="21"/>
      <c r="MJ104" s="21"/>
      <c r="MK104" s="21"/>
      <c r="ML104" s="21"/>
      <c r="MM104" s="21"/>
      <c r="MN104" s="21"/>
      <c r="MO104" s="21"/>
      <c r="MP104" s="21"/>
      <c r="MQ104" s="21"/>
      <c r="MR104" s="21"/>
      <c r="MS104" s="21"/>
      <c r="MT104" s="21"/>
      <c r="MU104" s="21"/>
      <c r="MV104" s="21"/>
      <c r="MW104" s="21"/>
      <c r="MX104" s="21"/>
      <c r="MY104" s="21"/>
      <c r="MZ104" s="21"/>
      <c r="NA104" s="21"/>
      <c r="NB104" s="21"/>
      <c r="NC104" s="168">
        <v>1002556</v>
      </c>
      <c r="ND104" s="168">
        <v>819006</v>
      </c>
      <c r="NE104" s="21"/>
      <c r="NF104" s="21"/>
      <c r="NG104" s="168">
        <v>3941557</v>
      </c>
      <c r="NH104" s="168">
        <v>3239004</v>
      </c>
      <c r="NI104" s="21"/>
      <c r="NJ104" s="21"/>
      <c r="NK104" s="168">
        <v>45</v>
      </c>
      <c r="NL104" s="168">
        <v>-115</v>
      </c>
      <c r="NM104" s="168">
        <v>35573572</v>
      </c>
      <c r="NN104" s="168">
        <v>36975986</v>
      </c>
      <c r="NO104" s="168">
        <v>41480984</v>
      </c>
      <c r="NP104" s="168">
        <v>42267844</v>
      </c>
      <c r="NQ104" s="168" t="s">
        <v>1395</v>
      </c>
      <c r="NR104" s="168" t="s">
        <v>769</v>
      </c>
      <c r="NS104" s="168" t="s">
        <v>770</v>
      </c>
      <c r="NT104" s="168" t="s">
        <v>771</v>
      </c>
      <c r="NU104" s="168">
        <v>2602</v>
      </c>
      <c r="NV104" s="168" t="s">
        <v>2104</v>
      </c>
      <c r="NW104" s="168" t="s">
        <v>28</v>
      </c>
      <c r="NX104" s="168" t="s">
        <v>25</v>
      </c>
      <c r="NY104" s="169">
        <v>42855</v>
      </c>
      <c r="NZ104" s="169">
        <v>42490</v>
      </c>
      <c r="OA104" s="169">
        <v>43124</v>
      </c>
      <c r="OB104" s="168" t="s">
        <v>3300</v>
      </c>
      <c r="OC104" s="168">
        <v>12</v>
      </c>
      <c r="OD104" s="168" t="s">
        <v>2151</v>
      </c>
      <c r="OE104" s="168" t="s">
        <v>3301</v>
      </c>
      <c r="OF104" s="168" t="s">
        <v>3302</v>
      </c>
      <c r="OG104" s="168" t="s">
        <v>3303</v>
      </c>
      <c r="OH104" s="168" t="s">
        <v>902</v>
      </c>
      <c r="OI104" s="168" t="s">
        <v>766</v>
      </c>
      <c r="OJ104" s="168" t="s">
        <v>3240</v>
      </c>
      <c r="OK104" s="168" t="s">
        <v>767</v>
      </c>
    </row>
    <row r="105" spans="1:401" x14ac:dyDescent="0.2">
      <c r="A105" s="170" t="str">
        <f>Liste[[#This Row],[Siren]]</f>
        <v>503520181</v>
      </c>
      <c r="B105" s="198" t="str">
        <f>Liste[[#This Row],[Dénomination]]&amp;" - comptes "&amp;YEAR(Liste[[#This Row],[Date de cloture de l''exercice]])</f>
        <v>ISEE - comptes 2017</v>
      </c>
      <c r="C105" s="21"/>
      <c r="D105" s="21"/>
      <c r="E105" s="21"/>
      <c r="F105" s="168">
        <v>1314612</v>
      </c>
      <c r="G105" s="168">
        <v>1005611</v>
      </c>
      <c r="H105" s="168">
        <v>1314612</v>
      </c>
      <c r="I105" s="168">
        <v>2202635</v>
      </c>
      <c r="J105" s="168">
        <v>1375669</v>
      </c>
      <c r="K105" s="168">
        <v>1442996</v>
      </c>
      <c r="L105" s="168">
        <v>3578304</v>
      </c>
      <c r="M105" s="21"/>
      <c r="N105" s="168">
        <v>51799</v>
      </c>
      <c r="O105" s="168">
        <v>50977</v>
      </c>
      <c r="P105" s="168">
        <v>51799</v>
      </c>
      <c r="Q105" s="21"/>
      <c r="R105" s="21"/>
      <c r="S105" s="21"/>
      <c r="T105" s="21"/>
      <c r="U105" s="21"/>
      <c r="V105" s="21"/>
      <c r="W105" s="21"/>
      <c r="X105" s="21"/>
      <c r="Y105" s="21"/>
      <c r="Z105" s="168">
        <v>320</v>
      </c>
      <c r="AA105" s="168">
        <v>320</v>
      </c>
      <c r="AB105" s="168">
        <v>320</v>
      </c>
      <c r="AC105" s="21"/>
      <c r="AD105" s="21"/>
      <c r="AE105" s="21"/>
      <c r="AF105" s="21"/>
      <c r="AG105" s="21"/>
      <c r="AH105" s="21"/>
      <c r="AI105" s="21"/>
      <c r="AJ105" s="21"/>
      <c r="AK105" s="21"/>
      <c r="AL105" s="168">
        <v>207483</v>
      </c>
      <c r="AM105" s="168">
        <v>68742</v>
      </c>
      <c r="AN105" s="168">
        <v>207483</v>
      </c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168">
        <v>175988</v>
      </c>
      <c r="BA105" s="168">
        <v>275344</v>
      </c>
      <c r="BB105" s="168">
        <v>175988</v>
      </c>
      <c r="BC105" s="168">
        <v>28377</v>
      </c>
      <c r="BD105" s="168">
        <v>4572499</v>
      </c>
      <c r="BE105" s="168">
        <v>3314607</v>
      </c>
      <c r="BF105" s="168">
        <v>4600876</v>
      </c>
      <c r="BG105" s="168">
        <v>53641</v>
      </c>
      <c r="BH105" s="168">
        <v>5200</v>
      </c>
      <c r="BI105" s="168">
        <v>2208</v>
      </c>
      <c r="BJ105" s="168">
        <v>58842</v>
      </c>
      <c r="BK105" s="168">
        <v>2357736</v>
      </c>
      <c r="BL105" s="168">
        <v>7101140</v>
      </c>
      <c r="BM105" s="168">
        <v>7625940</v>
      </c>
      <c r="BN105" s="168">
        <v>9458876</v>
      </c>
      <c r="BO105" s="21"/>
      <c r="BP105" s="168">
        <v>111643</v>
      </c>
      <c r="BQ105" s="168">
        <v>81247</v>
      </c>
      <c r="BR105" s="168">
        <v>111643</v>
      </c>
      <c r="BS105" s="21"/>
      <c r="BT105" s="21"/>
      <c r="BU105" s="21"/>
      <c r="BV105" s="21"/>
      <c r="BW105" s="21"/>
      <c r="BX105" s="168">
        <v>2160698</v>
      </c>
      <c r="BY105" s="168">
        <v>311716</v>
      </c>
      <c r="BZ105" s="168">
        <v>2160698</v>
      </c>
      <c r="CA105" s="21"/>
      <c r="CB105" s="21"/>
      <c r="CC105" s="21"/>
      <c r="CD105" s="21"/>
      <c r="CE105" s="21"/>
      <c r="CF105" s="21"/>
      <c r="CG105" s="21"/>
      <c r="CH105" s="21"/>
      <c r="CI105" s="168">
        <v>203245</v>
      </c>
      <c r="CJ105" s="168">
        <v>183373</v>
      </c>
      <c r="CK105" s="168">
        <v>203245</v>
      </c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168">
        <v>967067</v>
      </c>
      <c r="DG105" s="168">
        <v>514251</v>
      </c>
      <c r="DH105" s="168">
        <v>502208</v>
      </c>
      <c r="DI105" s="168">
        <v>1481317</v>
      </c>
      <c r="DJ105" s="168">
        <v>603778</v>
      </c>
      <c r="DK105" s="168">
        <v>26409904</v>
      </c>
      <c r="DL105" s="168">
        <v>26460017</v>
      </c>
      <c r="DM105" s="168">
        <v>27013682</v>
      </c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168">
        <v>7290383</v>
      </c>
      <c r="EL105" s="168">
        <v>12029036</v>
      </c>
      <c r="EM105" s="168">
        <v>12574911</v>
      </c>
      <c r="EN105" s="168">
        <v>19319419</v>
      </c>
      <c r="EO105" s="168">
        <v>632154</v>
      </c>
      <c r="EP105" s="168">
        <v>34694734</v>
      </c>
      <c r="EQ105" s="168">
        <v>31281857</v>
      </c>
      <c r="ER105" s="168">
        <v>35326889</v>
      </c>
      <c r="ES105" s="168">
        <v>7922538</v>
      </c>
      <c r="ET105" s="168">
        <v>47073465</v>
      </c>
      <c r="EU105" s="168">
        <v>44194320</v>
      </c>
      <c r="EV105" s="168">
        <v>54996003</v>
      </c>
      <c r="EW105" s="168">
        <v>11984</v>
      </c>
      <c r="EX105" s="168">
        <v>2597799</v>
      </c>
      <c r="EY105" s="168">
        <v>2597799</v>
      </c>
      <c r="EZ105" s="168">
        <v>2609783</v>
      </c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  <c r="FQ105" s="21"/>
      <c r="FR105" s="21"/>
      <c r="FS105" s="21"/>
      <c r="FT105" s="21"/>
      <c r="FU105" s="21"/>
      <c r="FV105" s="21"/>
      <c r="FW105" s="168">
        <v>-898571</v>
      </c>
      <c r="FX105" s="168">
        <v>-915202</v>
      </c>
      <c r="FY105" s="21"/>
      <c r="FZ105" s="21"/>
      <c r="GA105" s="21"/>
      <c r="GB105" s="21"/>
      <c r="GC105" s="21"/>
      <c r="GD105" s="21"/>
      <c r="GE105" s="21"/>
      <c r="GF105" s="21"/>
      <c r="GG105" s="21"/>
      <c r="GH105" s="21"/>
      <c r="GI105" s="21"/>
      <c r="GJ105" s="21"/>
      <c r="GK105" s="21"/>
      <c r="GL105" s="21"/>
      <c r="GM105" s="168">
        <v>1976325</v>
      </c>
      <c r="GN105" s="168">
        <v>1981972</v>
      </c>
      <c r="GO105" s="168">
        <v>1976325</v>
      </c>
      <c r="GP105" s="168">
        <v>1981972</v>
      </c>
      <c r="GQ105" s="21"/>
      <c r="GR105" s="21"/>
      <c r="GS105" s="168">
        <v>1976</v>
      </c>
      <c r="GT105" s="168">
        <v>1982</v>
      </c>
      <c r="GU105" s="21"/>
      <c r="GV105" s="21"/>
      <c r="GW105" s="21"/>
      <c r="GX105" s="21"/>
      <c r="GY105" s="21"/>
      <c r="GZ105" s="21"/>
      <c r="HA105" s="21"/>
      <c r="HB105" s="21"/>
      <c r="HC105" s="168">
        <v>3298067</v>
      </c>
      <c r="HD105" s="168">
        <v>2965675</v>
      </c>
      <c r="HE105" s="168">
        <v>19169</v>
      </c>
      <c r="HF105" s="168">
        <v>12964</v>
      </c>
      <c r="HG105" s="21"/>
      <c r="HH105" s="21"/>
      <c r="HI105" s="168">
        <v>19826</v>
      </c>
      <c r="HJ105" s="168">
        <v>23196</v>
      </c>
      <c r="HK105" s="21"/>
      <c r="HL105" s="21"/>
      <c r="HM105" s="21"/>
      <c r="HN105" s="21"/>
      <c r="HO105" s="21"/>
      <c r="HP105" s="21"/>
      <c r="HQ105" s="21"/>
      <c r="HR105" s="21"/>
      <c r="HS105" s="21"/>
      <c r="HT105" s="21"/>
      <c r="HU105" s="21"/>
      <c r="HV105" s="21"/>
      <c r="HW105" s="21"/>
      <c r="HX105" s="21"/>
      <c r="HY105" s="21"/>
      <c r="HZ105" s="21"/>
      <c r="IA105" s="21"/>
      <c r="IB105" s="21"/>
      <c r="IC105" s="21"/>
      <c r="ID105" s="21"/>
      <c r="IE105" s="168">
        <v>1081772</v>
      </c>
      <c r="IF105" s="168">
        <v>940313</v>
      </c>
      <c r="IG105" s="21"/>
      <c r="IH105" s="21"/>
      <c r="II105" s="21"/>
      <c r="IJ105" s="21"/>
      <c r="IK105" s="21"/>
      <c r="IL105" s="21"/>
      <c r="IM105" s="168">
        <v>19872</v>
      </c>
      <c r="IN105" s="168">
        <v>32033</v>
      </c>
      <c r="IO105" s="21"/>
      <c r="IP105" s="21"/>
      <c r="IQ105" s="21"/>
      <c r="IR105" s="21"/>
      <c r="IS105" s="21"/>
      <c r="IT105" s="21"/>
      <c r="IU105" s="168">
        <v>2711009</v>
      </c>
      <c r="IV105" s="168">
        <v>2753511</v>
      </c>
      <c r="IW105" s="168">
        <v>1861149</v>
      </c>
      <c r="IX105" s="168">
        <v>2187318</v>
      </c>
      <c r="IY105" s="168">
        <v>849860</v>
      </c>
      <c r="IZ105" s="168">
        <v>566193</v>
      </c>
      <c r="JA105" s="168">
        <v>998156</v>
      </c>
      <c r="JB105" s="168">
        <v>837297</v>
      </c>
      <c r="JC105" s="21"/>
      <c r="JD105" s="21"/>
      <c r="JE105" s="21"/>
      <c r="JF105" s="21"/>
      <c r="JG105" s="168">
        <v>569099</v>
      </c>
      <c r="JH105" s="168">
        <v>533808</v>
      </c>
      <c r="JI105" s="168">
        <v>124217706</v>
      </c>
      <c r="JJ105" s="168">
        <v>109336789</v>
      </c>
      <c r="JK105" s="168">
        <v>338834</v>
      </c>
      <c r="JL105" s="168">
        <v>373938</v>
      </c>
      <c r="JM105" s="168">
        <v>126078855</v>
      </c>
      <c r="JN105" s="168">
        <v>111524107</v>
      </c>
      <c r="JO105" s="168">
        <v>1188693</v>
      </c>
      <c r="JP105" s="168">
        <v>940131</v>
      </c>
      <c r="JQ105" s="21"/>
      <c r="JR105" s="21"/>
      <c r="JS105" s="21"/>
      <c r="JT105" s="21"/>
      <c r="JU105" s="21"/>
      <c r="JV105" s="21"/>
      <c r="JW105" s="168">
        <v>124471902</v>
      </c>
      <c r="JX105" s="168">
        <v>110161839</v>
      </c>
      <c r="JY105" s="21"/>
      <c r="JZ105" s="21"/>
      <c r="KA105" s="168">
        <v>4644059</v>
      </c>
      <c r="KB105" s="168">
        <v>4234495</v>
      </c>
      <c r="KC105" s="21"/>
      <c r="KD105" s="21"/>
      <c r="KE105" s="21"/>
      <c r="KF105" s="21"/>
      <c r="KG105" s="21"/>
      <c r="KH105" s="21"/>
      <c r="KI105" s="168">
        <v>119827843</v>
      </c>
      <c r="KJ105" s="168">
        <v>105927344</v>
      </c>
      <c r="KK105" s="21"/>
      <c r="KL105" s="21"/>
      <c r="KM105" s="21"/>
      <c r="KN105" s="21"/>
      <c r="KO105" s="21"/>
      <c r="KP105" s="21"/>
      <c r="KQ105" s="168">
        <v>39375</v>
      </c>
      <c r="KR105" s="168">
        <v>53641</v>
      </c>
      <c r="KS105" s="21"/>
      <c r="KT105" s="21"/>
      <c r="KU105" s="21"/>
      <c r="KV105" s="21"/>
      <c r="KW105" s="21"/>
      <c r="KX105" s="21"/>
      <c r="KY105" s="168">
        <v>1434262</v>
      </c>
      <c r="KZ105" s="168">
        <v>1132714</v>
      </c>
      <c r="LA105" s="168">
        <v>10000</v>
      </c>
      <c r="LB105" s="168">
        <v>10000</v>
      </c>
      <c r="LC105" s="21"/>
      <c r="LD105" s="21"/>
      <c r="LE105" s="21"/>
      <c r="LF105" s="21"/>
      <c r="LG105" s="21"/>
      <c r="LH105" s="21"/>
      <c r="LI105" s="168">
        <v>2458372</v>
      </c>
      <c r="LJ105" s="168">
        <v>2161598</v>
      </c>
      <c r="LK105" s="21"/>
      <c r="LL105" s="21"/>
      <c r="LM105" s="168">
        <v>29595</v>
      </c>
      <c r="LN105" s="168">
        <v>90211</v>
      </c>
      <c r="LO105" s="21"/>
      <c r="LP105" s="21"/>
      <c r="LQ105" s="21"/>
      <c r="LR105" s="21"/>
      <c r="LS105" s="21"/>
      <c r="LT105" s="21"/>
      <c r="LU105" s="21"/>
      <c r="LV105" s="21"/>
      <c r="LW105" s="21"/>
      <c r="LX105" s="21"/>
      <c r="LY105" s="21"/>
      <c r="LZ105" s="21"/>
      <c r="MA105" s="168">
        <v>9288805</v>
      </c>
      <c r="MB105" s="168">
        <v>10440143</v>
      </c>
      <c r="MC105" s="168">
        <v>6927800</v>
      </c>
      <c r="MD105" s="168">
        <v>4398306</v>
      </c>
      <c r="ME105" s="21"/>
      <c r="MF105" s="21"/>
      <c r="MG105" s="21"/>
      <c r="MH105" s="21"/>
      <c r="MI105" s="21"/>
      <c r="MJ105" s="21"/>
      <c r="MK105" s="21"/>
      <c r="ML105" s="21"/>
      <c r="MM105" s="168">
        <v>40374</v>
      </c>
      <c r="MN105" s="168">
        <v>84012</v>
      </c>
      <c r="MO105" s="21"/>
      <c r="MP105" s="21"/>
      <c r="MQ105" s="21"/>
      <c r="MR105" s="21"/>
      <c r="MS105" s="21"/>
      <c r="MT105" s="21"/>
      <c r="MU105" s="21"/>
      <c r="MV105" s="21"/>
      <c r="MW105" s="21"/>
      <c r="MX105" s="21"/>
      <c r="MY105" s="21"/>
      <c r="MZ105" s="21"/>
      <c r="NA105" s="21"/>
      <c r="NB105" s="21"/>
      <c r="NC105" s="168">
        <v>1976325</v>
      </c>
      <c r="ND105" s="168">
        <v>1981972</v>
      </c>
      <c r="NE105" s="168">
        <v>656753</v>
      </c>
      <c r="NF105" s="168">
        <v>709155</v>
      </c>
      <c r="NG105" s="168">
        <v>8739463</v>
      </c>
      <c r="NH105" s="168">
        <v>6762742</v>
      </c>
      <c r="NI105" s="21"/>
      <c r="NJ105" s="21"/>
      <c r="NK105" s="21"/>
      <c r="NL105" s="21"/>
      <c r="NM105" s="168">
        <v>37606929</v>
      </c>
      <c r="NN105" s="168">
        <v>36560657</v>
      </c>
      <c r="NO105" s="168">
        <v>47073465</v>
      </c>
      <c r="NP105" s="168">
        <v>44194320</v>
      </c>
      <c r="NQ105" s="168" t="s">
        <v>962</v>
      </c>
      <c r="NR105" s="168" t="s">
        <v>769</v>
      </c>
      <c r="NS105" s="168" t="s">
        <v>770</v>
      </c>
      <c r="NT105" s="168" t="s">
        <v>771</v>
      </c>
      <c r="NU105" s="168">
        <v>1704</v>
      </c>
      <c r="NV105" s="168" t="s">
        <v>2104</v>
      </c>
      <c r="NW105" s="168" t="s">
        <v>28</v>
      </c>
      <c r="NX105" s="168" t="s">
        <v>25</v>
      </c>
      <c r="NY105" s="169">
        <v>42855</v>
      </c>
      <c r="NZ105" s="169">
        <v>42490</v>
      </c>
      <c r="OA105" s="169">
        <v>43066</v>
      </c>
      <c r="OB105" s="168" t="s">
        <v>1537</v>
      </c>
      <c r="OC105" s="168">
        <v>12</v>
      </c>
      <c r="OD105" s="168" t="s">
        <v>2105</v>
      </c>
      <c r="OE105" s="168" t="s">
        <v>2615</v>
      </c>
      <c r="OF105" s="168" t="s">
        <v>2616</v>
      </c>
      <c r="OG105" s="168" t="s">
        <v>2073</v>
      </c>
      <c r="OH105" s="168" t="s">
        <v>824</v>
      </c>
      <c r="OI105" s="168" t="s">
        <v>766</v>
      </c>
      <c r="OJ105" s="168" t="s">
        <v>3240</v>
      </c>
      <c r="OK105" s="168" t="s">
        <v>767</v>
      </c>
    </row>
    <row r="106" spans="1:401" x14ac:dyDescent="0.2">
      <c r="A106" s="170" t="str">
        <f>Liste[[#This Row],[Siren]]</f>
        <v>405040973</v>
      </c>
      <c r="B106" s="198" t="str">
        <f>Liste[[#This Row],[Dénomination]]&amp;" - comptes "&amp;YEAR(Liste[[#This Row],[Date de cloture de l''exercice]])</f>
        <v>ALLIAGE - comptes 2017</v>
      </c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168">
        <v>6825460</v>
      </c>
      <c r="BE106" s="168">
        <v>6291630</v>
      </c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168">
        <v>899958</v>
      </c>
      <c r="BY106" s="168">
        <v>665663</v>
      </c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168">
        <v>10178828</v>
      </c>
      <c r="EM106" s="168">
        <v>11067106</v>
      </c>
      <c r="EN106" s="21"/>
      <c r="EO106" s="21"/>
      <c r="EP106" s="168">
        <v>13211875</v>
      </c>
      <c r="EQ106" s="168">
        <v>13165936</v>
      </c>
      <c r="ER106" s="21"/>
      <c r="ES106" s="21"/>
      <c r="ET106" s="168">
        <v>23390704</v>
      </c>
      <c r="EU106" s="168">
        <v>24233044</v>
      </c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168">
        <v>620298</v>
      </c>
      <c r="FG106" s="168">
        <v>1315814</v>
      </c>
      <c r="FH106" s="21"/>
      <c r="FI106" s="168">
        <v>-50952</v>
      </c>
      <c r="FJ106" s="168">
        <v>438321</v>
      </c>
      <c r="FK106" s="21"/>
      <c r="FL106" s="21"/>
      <c r="FM106" s="21"/>
      <c r="FN106" s="21"/>
      <c r="FO106" s="21"/>
      <c r="FP106" s="21"/>
      <c r="FQ106" s="21"/>
      <c r="FR106" s="21"/>
      <c r="FS106" s="21"/>
      <c r="FT106" s="21"/>
      <c r="FU106" s="21"/>
      <c r="FV106" s="21"/>
      <c r="FW106" s="168">
        <v>-618905</v>
      </c>
      <c r="FX106" s="168">
        <v>-459684</v>
      </c>
      <c r="FY106" s="21"/>
      <c r="FZ106" s="21"/>
      <c r="GA106" s="21"/>
      <c r="GB106" s="21"/>
      <c r="GC106" s="21"/>
      <c r="GD106" s="21"/>
      <c r="GE106" s="21"/>
      <c r="GF106" s="21"/>
      <c r="GG106" s="21"/>
      <c r="GH106" s="21"/>
      <c r="GI106" s="21"/>
      <c r="GJ106" s="21"/>
      <c r="GK106" s="21"/>
      <c r="GL106" s="21"/>
      <c r="GM106" s="168">
        <v>1170788</v>
      </c>
      <c r="GN106" s="168">
        <v>811312</v>
      </c>
      <c r="GO106" s="168">
        <v>1173115</v>
      </c>
      <c r="GP106" s="168">
        <v>816417</v>
      </c>
      <c r="GQ106" s="168">
        <v>-2327</v>
      </c>
      <c r="GR106" s="168">
        <v>-5105</v>
      </c>
      <c r="GS106" s="168">
        <v>1170788</v>
      </c>
      <c r="GT106" s="168">
        <v>811312</v>
      </c>
      <c r="GU106" s="168">
        <v>-95000</v>
      </c>
      <c r="GV106" s="168">
        <v>-80430</v>
      </c>
      <c r="GW106" s="168">
        <v>44048</v>
      </c>
      <c r="GX106" s="168">
        <v>586751</v>
      </c>
      <c r="GY106" s="21"/>
      <c r="GZ106" s="21"/>
      <c r="HA106" s="21"/>
      <c r="HB106" s="21"/>
      <c r="HC106" s="168">
        <v>1938031</v>
      </c>
      <c r="HD106" s="168">
        <v>1903003</v>
      </c>
      <c r="HE106" s="21"/>
      <c r="HF106" s="21"/>
      <c r="HG106" s="21"/>
      <c r="HH106" s="21"/>
      <c r="HI106" s="168">
        <v>43081</v>
      </c>
      <c r="HJ106" s="168">
        <v>179071</v>
      </c>
      <c r="HK106" s="21"/>
      <c r="HL106" s="21"/>
      <c r="HM106" s="21"/>
      <c r="HN106" s="21"/>
      <c r="HO106" s="21"/>
      <c r="HP106" s="21"/>
      <c r="HQ106" s="21"/>
      <c r="HR106" s="21"/>
      <c r="HS106" s="21"/>
      <c r="HT106" s="21"/>
      <c r="HU106" s="21"/>
      <c r="HV106" s="21"/>
      <c r="HW106" s="21"/>
      <c r="HX106" s="21"/>
      <c r="HY106" s="21"/>
      <c r="HZ106" s="21"/>
      <c r="IA106" s="21"/>
      <c r="IB106" s="21"/>
      <c r="IC106" s="21"/>
      <c r="ID106" s="21"/>
      <c r="IE106" s="168">
        <v>421611</v>
      </c>
      <c r="IF106" s="168">
        <v>439842</v>
      </c>
      <c r="IG106" s="21"/>
      <c r="IH106" s="21"/>
      <c r="II106" s="21"/>
      <c r="IJ106" s="21"/>
      <c r="IK106" s="21"/>
      <c r="IL106" s="21"/>
      <c r="IM106" s="21"/>
      <c r="IN106" s="21"/>
      <c r="IO106" s="21"/>
      <c r="IP106" s="21"/>
      <c r="IQ106" s="21"/>
      <c r="IR106" s="21"/>
      <c r="IS106" s="21"/>
      <c r="IT106" s="21"/>
      <c r="IU106" s="168">
        <v>1842971</v>
      </c>
      <c r="IV106" s="168">
        <v>837780</v>
      </c>
      <c r="IW106" s="168">
        <v>2085885</v>
      </c>
      <c r="IX106" s="168">
        <v>1145845</v>
      </c>
      <c r="IY106" s="168">
        <v>-242914</v>
      </c>
      <c r="IZ106" s="168">
        <v>-308065</v>
      </c>
      <c r="JA106" s="21"/>
      <c r="JB106" s="21"/>
      <c r="JC106" s="21"/>
      <c r="JD106" s="21"/>
      <c r="JE106" s="168">
        <v>3054128</v>
      </c>
      <c r="JF106" s="168">
        <v>4334980</v>
      </c>
      <c r="JG106" s="21"/>
      <c r="JH106" s="21"/>
      <c r="JI106" s="168">
        <v>30267528</v>
      </c>
      <c r="JJ106" s="168">
        <v>32052661</v>
      </c>
      <c r="JK106" s="168">
        <v>-341280</v>
      </c>
      <c r="JL106" s="168">
        <v>-427749</v>
      </c>
      <c r="JM106" s="168">
        <v>32353414</v>
      </c>
      <c r="JN106" s="168">
        <v>33198506</v>
      </c>
      <c r="JO106" s="168">
        <v>98365</v>
      </c>
      <c r="JP106" s="168">
        <v>119684</v>
      </c>
      <c r="JQ106" s="21"/>
      <c r="JR106" s="21"/>
      <c r="JS106" s="21"/>
      <c r="JT106" s="21"/>
      <c r="JU106" s="21"/>
      <c r="JV106" s="21"/>
      <c r="JW106" s="168">
        <v>32310333</v>
      </c>
      <c r="JX106" s="168">
        <v>33019435</v>
      </c>
      <c r="JY106" s="21"/>
      <c r="JZ106" s="21"/>
      <c r="KA106" s="21"/>
      <c r="KB106" s="21"/>
      <c r="KC106" s="21"/>
      <c r="KD106" s="21"/>
      <c r="KE106" s="21"/>
      <c r="KF106" s="21"/>
      <c r="KG106" s="21"/>
      <c r="KH106" s="21"/>
      <c r="KI106" s="21"/>
      <c r="KJ106" s="21"/>
      <c r="KK106" s="21"/>
      <c r="KL106" s="21"/>
      <c r="KM106" s="21"/>
      <c r="KN106" s="21"/>
      <c r="KO106" s="21"/>
      <c r="KP106" s="21"/>
      <c r="KQ106" s="21"/>
      <c r="KR106" s="21"/>
      <c r="KS106" s="21"/>
      <c r="KT106" s="21"/>
      <c r="KU106" s="21"/>
      <c r="KV106" s="21"/>
      <c r="KW106" s="21"/>
      <c r="KX106" s="21"/>
      <c r="KY106" s="21"/>
      <c r="KZ106" s="21"/>
      <c r="LA106" s="168">
        <v>1856250</v>
      </c>
      <c r="LB106" s="168">
        <v>1856250</v>
      </c>
      <c r="LC106" s="21"/>
      <c r="LD106" s="21"/>
      <c r="LE106" s="21"/>
      <c r="LF106" s="21"/>
      <c r="LG106" s="21"/>
      <c r="LH106" s="21"/>
      <c r="LI106" s="21"/>
      <c r="LJ106" s="21"/>
      <c r="LK106" s="168">
        <v>4415457</v>
      </c>
      <c r="LL106" s="168">
        <v>4364515</v>
      </c>
      <c r="LM106" s="21"/>
      <c r="LN106" s="21"/>
      <c r="LO106" s="21"/>
      <c r="LP106" s="21"/>
      <c r="LQ106" s="21"/>
      <c r="LR106" s="21"/>
      <c r="LS106" s="21"/>
      <c r="LT106" s="21"/>
      <c r="LU106" s="21"/>
      <c r="LV106" s="21"/>
      <c r="LW106" s="21"/>
      <c r="LX106" s="21"/>
      <c r="LY106" s="21"/>
      <c r="LZ106" s="21"/>
      <c r="MA106" s="21"/>
      <c r="MB106" s="21"/>
      <c r="MC106" s="168">
        <v>10473125</v>
      </c>
      <c r="MD106" s="168">
        <v>11758308</v>
      </c>
      <c r="ME106" s="21"/>
      <c r="MF106" s="21"/>
      <c r="MG106" s="21"/>
      <c r="MH106" s="21"/>
      <c r="MI106" s="21"/>
      <c r="MJ106" s="21"/>
      <c r="MK106" s="21"/>
      <c r="ML106" s="21"/>
      <c r="MM106" s="21"/>
      <c r="MN106" s="21"/>
      <c r="MO106" s="21"/>
      <c r="MP106" s="21"/>
      <c r="MQ106" s="21"/>
      <c r="MR106" s="21"/>
      <c r="MS106" s="21"/>
      <c r="MT106" s="21"/>
      <c r="MU106" s="21"/>
      <c r="MV106" s="21"/>
      <c r="MW106" s="21"/>
      <c r="MX106" s="21"/>
      <c r="MY106" s="21"/>
      <c r="MZ106" s="21"/>
      <c r="NA106" s="21"/>
      <c r="NB106" s="21"/>
      <c r="NC106" s="168">
        <v>1170788</v>
      </c>
      <c r="ND106" s="168">
        <v>811312</v>
      </c>
      <c r="NE106" s="21"/>
      <c r="NF106" s="21"/>
      <c r="NG106" s="168">
        <v>6652070</v>
      </c>
      <c r="NH106" s="168">
        <v>5796279</v>
      </c>
      <c r="NI106" s="21"/>
      <c r="NJ106" s="21"/>
      <c r="NK106" s="21"/>
      <c r="NL106" s="21"/>
      <c r="NM106" s="168">
        <v>16246317</v>
      </c>
      <c r="NN106" s="168">
        <v>18004193</v>
      </c>
      <c r="NO106" s="168">
        <v>23301158</v>
      </c>
      <c r="NP106" s="168">
        <v>24233044</v>
      </c>
      <c r="NQ106" s="168" t="s">
        <v>1021</v>
      </c>
      <c r="NR106" s="168" t="s">
        <v>769</v>
      </c>
      <c r="NS106" s="168" t="s">
        <v>770</v>
      </c>
      <c r="NT106" s="168" t="s">
        <v>771</v>
      </c>
      <c r="NU106" s="168">
        <v>3701</v>
      </c>
      <c r="NV106" s="168" t="s">
        <v>2104</v>
      </c>
      <c r="NW106" s="168" t="s">
        <v>28</v>
      </c>
      <c r="NX106" s="168" t="s">
        <v>25</v>
      </c>
      <c r="NY106" s="169">
        <v>42855</v>
      </c>
      <c r="NZ106" s="169">
        <v>42490</v>
      </c>
      <c r="OA106" s="169">
        <v>43105</v>
      </c>
      <c r="OB106" s="168" t="s">
        <v>1022</v>
      </c>
      <c r="OC106" s="168">
        <v>12</v>
      </c>
      <c r="OD106" s="168" t="s">
        <v>2105</v>
      </c>
      <c r="OE106" s="168" t="s">
        <v>2111</v>
      </c>
      <c r="OF106" s="168" t="s">
        <v>2224</v>
      </c>
      <c r="OG106" s="168" t="s">
        <v>1850</v>
      </c>
      <c r="OH106" s="168" t="s">
        <v>912</v>
      </c>
      <c r="OI106" s="168" t="s">
        <v>766</v>
      </c>
      <c r="OJ106" s="168" t="s">
        <v>3240</v>
      </c>
      <c r="OK106" s="168" t="s">
        <v>767</v>
      </c>
    </row>
    <row r="107" spans="1:401" x14ac:dyDescent="0.2">
      <c r="A107" s="170" t="str">
        <f>Liste[[#This Row],[Siren]]</f>
        <v>515620441</v>
      </c>
      <c r="B107" s="198" t="str">
        <f>Liste[[#This Row],[Dénomination]]&amp;" - comptes "&amp;YEAR(Liste[[#This Row],[Date de cloture de l''exercice]])</f>
        <v>TONNELLERIE FRANCOIS FRERES - comptes 2017</v>
      </c>
      <c r="C107" s="21"/>
      <c r="D107" s="21"/>
      <c r="E107" s="21"/>
      <c r="F107" s="168">
        <v>6576000</v>
      </c>
      <c r="G107" s="168">
        <v>7025000</v>
      </c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168">
        <v>4158000</v>
      </c>
      <c r="S107" s="168">
        <v>2682000</v>
      </c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168">
        <v>45848000</v>
      </c>
      <c r="BE107" s="168">
        <v>37491000</v>
      </c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168">
        <v>72588000</v>
      </c>
      <c r="CF107" s="168">
        <v>60144000</v>
      </c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168">
        <v>156241000</v>
      </c>
      <c r="EM107" s="168">
        <v>129578000</v>
      </c>
      <c r="EN107" s="21"/>
      <c r="EO107" s="21"/>
      <c r="EP107" s="168">
        <v>308915000</v>
      </c>
      <c r="EQ107" s="168">
        <v>278094000</v>
      </c>
      <c r="ER107" s="21"/>
      <c r="ES107" s="21"/>
      <c r="ET107" s="168">
        <v>465156000</v>
      </c>
      <c r="EU107" s="168">
        <v>407672000</v>
      </c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  <c r="FS107" s="21"/>
      <c r="FT107" s="21"/>
      <c r="FU107" s="21"/>
      <c r="FV107" s="21"/>
      <c r="FW107" s="168">
        <v>-13946000</v>
      </c>
      <c r="FX107" s="168">
        <v>-11979000</v>
      </c>
      <c r="FY107" s="168">
        <v>371000</v>
      </c>
      <c r="FZ107" s="168">
        <v>357000</v>
      </c>
      <c r="GA107" s="21"/>
      <c r="GB107" s="21"/>
      <c r="GC107" s="21"/>
      <c r="GD107" s="21"/>
      <c r="GE107" s="21"/>
      <c r="GF107" s="21"/>
      <c r="GG107" s="21"/>
      <c r="GH107" s="21"/>
      <c r="GI107" s="21"/>
      <c r="GJ107" s="21"/>
      <c r="GK107" s="21"/>
      <c r="GL107" s="21"/>
      <c r="GM107" s="168">
        <v>32448000</v>
      </c>
      <c r="GN107" s="168">
        <v>29285000</v>
      </c>
      <c r="GO107" s="21"/>
      <c r="GP107" s="21"/>
      <c r="GQ107" s="21"/>
      <c r="GR107" s="21"/>
      <c r="GS107" s="168">
        <v>32077000</v>
      </c>
      <c r="GT107" s="168">
        <v>28928000</v>
      </c>
      <c r="GU107" s="21"/>
      <c r="GV107" s="21"/>
      <c r="GW107" s="21"/>
      <c r="GX107" s="21"/>
      <c r="GY107" s="21"/>
      <c r="GZ107" s="21"/>
      <c r="HA107" s="21"/>
      <c r="HB107" s="21"/>
      <c r="HC107" s="168">
        <v>-27976000</v>
      </c>
      <c r="HD107" s="168">
        <v>-21339000</v>
      </c>
      <c r="HE107" s="168">
        <v>-113000</v>
      </c>
      <c r="HF107" s="168">
        <v>-181000</v>
      </c>
      <c r="HG107" s="21"/>
      <c r="HH107" s="21"/>
      <c r="HI107" s="21"/>
      <c r="HJ107" s="21"/>
      <c r="HK107" s="21"/>
      <c r="HL107" s="21"/>
      <c r="HM107" s="21"/>
      <c r="HN107" s="21"/>
      <c r="HO107" s="21"/>
      <c r="HP107" s="21"/>
      <c r="HQ107" s="21"/>
      <c r="HR107" s="21"/>
      <c r="HS107" s="21"/>
      <c r="HT107" s="21"/>
      <c r="HU107" s="168">
        <v>-5108000</v>
      </c>
      <c r="HV107" s="168">
        <v>-3330000</v>
      </c>
      <c r="HW107" s="168">
        <v>-1588000</v>
      </c>
      <c r="HX107" s="168">
        <v>-1567000</v>
      </c>
      <c r="HY107" s="21"/>
      <c r="HZ107" s="21"/>
      <c r="IA107" s="21"/>
      <c r="IB107" s="21"/>
      <c r="IC107" s="21"/>
      <c r="ID107" s="21"/>
      <c r="IE107" s="168">
        <v>-2472000</v>
      </c>
      <c r="IF107" s="168">
        <v>-2035000</v>
      </c>
      <c r="IG107" s="21"/>
      <c r="IH107" s="21"/>
      <c r="II107" s="21"/>
      <c r="IJ107" s="21"/>
      <c r="IK107" s="21"/>
      <c r="IL107" s="21"/>
      <c r="IM107" s="168">
        <v>-140000</v>
      </c>
      <c r="IN107" s="168">
        <v>2189000</v>
      </c>
      <c r="IO107" s="21"/>
      <c r="IP107" s="21"/>
      <c r="IQ107" s="21"/>
      <c r="IR107" s="21"/>
      <c r="IS107" s="21"/>
      <c r="IT107" s="21"/>
      <c r="IU107" s="168">
        <v>46394000</v>
      </c>
      <c r="IV107" s="168">
        <v>41264000</v>
      </c>
      <c r="IW107" s="21"/>
      <c r="IX107" s="21"/>
      <c r="IY107" s="168">
        <v>783000</v>
      </c>
      <c r="IZ107" s="168">
        <v>225000</v>
      </c>
      <c r="JA107" s="168">
        <v>2024000</v>
      </c>
      <c r="JB107" s="168">
        <v>1586000</v>
      </c>
      <c r="JC107" s="21"/>
      <c r="JD107" s="21"/>
      <c r="JE107" s="21"/>
      <c r="JF107" s="21"/>
      <c r="JG107" s="21"/>
      <c r="JH107" s="21"/>
      <c r="JI107" s="168">
        <v>45639000</v>
      </c>
      <c r="JJ107" s="168">
        <v>40380000</v>
      </c>
      <c r="JK107" s="168">
        <v>-1954000</v>
      </c>
      <c r="JL107" s="168">
        <v>-1337000</v>
      </c>
      <c r="JM107" s="168">
        <v>227740000</v>
      </c>
      <c r="JN107" s="168">
        <v>197176000</v>
      </c>
      <c r="JO107" s="168">
        <v>2737000</v>
      </c>
      <c r="JP107" s="168">
        <v>1562000</v>
      </c>
      <c r="JQ107" s="21"/>
      <c r="JR107" s="21"/>
      <c r="JS107" s="21"/>
      <c r="JT107" s="21"/>
      <c r="JU107" s="21"/>
      <c r="JV107" s="21"/>
      <c r="JW107" s="168">
        <v>227880000</v>
      </c>
      <c r="JX107" s="168">
        <v>194987000</v>
      </c>
      <c r="JY107" s="21"/>
      <c r="JZ107" s="21"/>
      <c r="KA107" s="21"/>
      <c r="KB107" s="21"/>
      <c r="KC107" s="21"/>
      <c r="KD107" s="21"/>
      <c r="KE107" s="21"/>
      <c r="KF107" s="21"/>
      <c r="KG107" s="21"/>
      <c r="KH107" s="21"/>
      <c r="KI107" s="21"/>
      <c r="KJ107" s="21"/>
      <c r="KK107" s="21"/>
      <c r="KL107" s="21"/>
      <c r="KM107" s="21"/>
      <c r="KN107" s="21"/>
      <c r="KO107" s="21"/>
      <c r="KP107" s="21"/>
      <c r="KQ107" s="21"/>
      <c r="KR107" s="21"/>
      <c r="KS107" s="21"/>
      <c r="KT107" s="21"/>
      <c r="KU107" s="21"/>
      <c r="KV107" s="21"/>
      <c r="KW107" s="21"/>
      <c r="KX107" s="21"/>
      <c r="KY107" s="21"/>
      <c r="KZ107" s="21"/>
      <c r="LA107" s="168">
        <v>8672000</v>
      </c>
      <c r="LB107" s="168">
        <v>8672000</v>
      </c>
      <c r="LC107" s="168">
        <v>3641000</v>
      </c>
      <c r="LD107" s="168">
        <v>2949000</v>
      </c>
      <c r="LE107" s="168">
        <v>370000</v>
      </c>
      <c r="LF107" s="168">
        <v>346000</v>
      </c>
      <c r="LG107" s="21"/>
      <c r="LH107" s="21"/>
      <c r="LI107" s="21"/>
      <c r="LJ107" s="21"/>
      <c r="LK107" s="168">
        <v>24102000</v>
      </c>
      <c r="LL107" s="168">
        <v>19788000</v>
      </c>
      <c r="LM107" s="21"/>
      <c r="LN107" s="21"/>
      <c r="LO107" s="21"/>
      <c r="LP107" s="21"/>
      <c r="LQ107" s="21"/>
      <c r="LR107" s="21"/>
      <c r="LS107" s="21"/>
      <c r="LT107" s="21"/>
      <c r="LU107" s="168">
        <v>2144000</v>
      </c>
      <c r="LV107" s="168">
        <v>1974000</v>
      </c>
      <c r="LW107" s="21"/>
      <c r="LX107" s="21"/>
      <c r="LY107" s="21"/>
      <c r="LZ107" s="21"/>
      <c r="MA107" s="21"/>
      <c r="MB107" s="21"/>
      <c r="MC107" s="168">
        <v>112494000</v>
      </c>
      <c r="MD107" s="168">
        <v>94768000</v>
      </c>
      <c r="ME107" s="21"/>
      <c r="MF107" s="21"/>
      <c r="MG107" s="168">
        <v>3377000</v>
      </c>
      <c r="MH107" s="168">
        <v>3116000</v>
      </c>
      <c r="MI107" s="21"/>
      <c r="MJ107" s="21"/>
      <c r="MK107" s="21"/>
      <c r="ML107" s="21"/>
      <c r="MM107" s="21"/>
      <c r="MN107" s="21"/>
      <c r="MO107" s="21"/>
      <c r="MP107" s="21"/>
      <c r="MQ107" s="21"/>
      <c r="MR107" s="21"/>
      <c r="MS107" s="21"/>
      <c r="MT107" s="21"/>
      <c r="MU107" s="21"/>
      <c r="MV107" s="21"/>
      <c r="MW107" s="21"/>
      <c r="MX107" s="21"/>
      <c r="MY107" s="21"/>
      <c r="MZ107" s="21"/>
      <c r="NA107" s="21"/>
      <c r="NB107" s="21"/>
      <c r="NC107" s="168">
        <v>32077000</v>
      </c>
      <c r="ND107" s="168">
        <v>28928000</v>
      </c>
      <c r="NE107" s="21"/>
      <c r="NF107" s="21"/>
      <c r="NG107" s="168">
        <v>300710000</v>
      </c>
      <c r="NH107" s="168">
        <v>273018000</v>
      </c>
      <c r="NI107" s="21"/>
      <c r="NJ107" s="21"/>
      <c r="NK107" s="168">
        <v>4011000</v>
      </c>
      <c r="NL107" s="168">
        <v>3295000</v>
      </c>
      <c r="NM107" s="168">
        <v>459011000</v>
      </c>
      <c r="NN107" s="168">
        <v>125998000</v>
      </c>
      <c r="NO107" s="168">
        <v>465156000</v>
      </c>
      <c r="NP107" s="168">
        <v>407672000</v>
      </c>
      <c r="NQ107" s="168" t="s">
        <v>1403</v>
      </c>
      <c r="NR107" s="168" t="s">
        <v>1404</v>
      </c>
      <c r="NS107" s="168" t="s">
        <v>770</v>
      </c>
      <c r="NT107" s="168" t="s">
        <v>771</v>
      </c>
      <c r="NU107" s="168">
        <v>2104</v>
      </c>
      <c r="NV107" s="168" t="s">
        <v>2104</v>
      </c>
      <c r="NW107" s="168" t="s">
        <v>28</v>
      </c>
      <c r="NX107" s="168" t="s">
        <v>25</v>
      </c>
      <c r="NY107" s="169">
        <v>42855</v>
      </c>
      <c r="NZ107" s="169">
        <v>42490</v>
      </c>
      <c r="OA107" s="169">
        <v>43053</v>
      </c>
      <c r="OB107" s="168" t="s">
        <v>1405</v>
      </c>
      <c r="OC107" s="168">
        <v>12</v>
      </c>
      <c r="OD107" s="168" t="s">
        <v>2105</v>
      </c>
      <c r="OE107" s="168" t="s">
        <v>2479</v>
      </c>
      <c r="OF107" s="168" t="s">
        <v>2519</v>
      </c>
      <c r="OG107" s="168" t="s">
        <v>2005</v>
      </c>
      <c r="OH107" s="168" t="s">
        <v>913</v>
      </c>
      <c r="OI107" s="168" t="s">
        <v>766</v>
      </c>
      <c r="OJ107" s="168" t="s">
        <v>3240</v>
      </c>
      <c r="OK107" s="168" t="s">
        <v>1402</v>
      </c>
    </row>
    <row r="108" spans="1:401" x14ac:dyDescent="0.2">
      <c r="A108" s="170" t="str">
        <f>Liste[[#This Row],[Siren]]</f>
        <v>507900439</v>
      </c>
      <c r="B108" s="198" t="str">
        <f>Liste[[#This Row],[Dénomination]]&amp;" - comptes "&amp;YEAR(Liste[[#This Row],[Date de cloture de l''exercice]])</f>
        <v>P3G Participations - comptes 2017</v>
      </c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168">
        <v>51000</v>
      </c>
      <c r="O108" s="168">
        <v>1906000</v>
      </c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168">
        <v>21465000</v>
      </c>
      <c r="BE108" s="168">
        <v>52738000</v>
      </c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168">
        <v>2541000</v>
      </c>
      <c r="BY108" s="168">
        <v>13382000</v>
      </c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168">
        <v>11216000</v>
      </c>
      <c r="EM108" s="168">
        <v>49577000</v>
      </c>
      <c r="EN108" s="21"/>
      <c r="EO108" s="21"/>
      <c r="EP108" s="168">
        <v>40738000</v>
      </c>
      <c r="EQ108" s="168">
        <v>127080000</v>
      </c>
      <c r="ER108" s="21"/>
      <c r="ES108" s="21"/>
      <c r="ET108" s="168">
        <v>51954000</v>
      </c>
      <c r="EU108" s="168">
        <v>176657000</v>
      </c>
      <c r="EV108" s="21"/>
      <c r="EW108" s="21"/>
      <c r="EX108" s="21"/>
      <c r="EY108" s="21"/>
      <c r="EZ108" s="21"/>
      <c r="FA108" s="21"/>
      <c r="FB108" s="168">
        <v>993000</v>
      </c>
      <c r="FC108" s="21"/>
      <c r="FD108" s="21"/>
      <c r="FE108" s="21"/>
      <c r="FF108" s="21"/>
      <c r="FG108" s="21"/>
      <c r="FH108" s="21"/>
      <c r="FI108" s="168">
        <v>506000</v>
      </c>
      <c r="FJ108" s="168">
        <v>70000</v>
      </c>
      <c r="FK108" s="21"/>
      <c r="FL108" s="21"/>
      <c r="FM108" s="21"/>
      <c r="FN108" s="21"/>
      <c r="FO108" s="21"/>
      <c r="FP108" s="21"/>
      <c r="FQ108" s="168">
        <v>28221000</v>
      </c>
      <c r="FR108" s="21"/>
      <c r="FS108" s="21"/>
      <c r="FT108" s="21"/>
      <c r="FU108" s="21"/>
      <c r="FV108" s="21"/>
      <c r="FW108" s="168">
        <v>-1208000</v>
      </c>
      <c r="FX108" s="168">
        <v>-342000</v>
      </c>
      <c r="FY108" s="168">
        <v>37000</v>
      </c>
      <c r="FZ108" s="168">
        <v>-424000</v>
      </c>
      <c r="GA108" s="21"/>
      <c r="GB108" s="21"/>
      <c r="GC108" s="21"/>
      <c r="GD108" s="21"/>
      <c r="GE108" s="21"/>
      <c r="GF108" s="21"/>
      <c r="GG108" s="21"/>
      <c r="GH108" s="21"/>
      <c r="GI108" s="21"/>
      <c r="GJ108" s="21"/>
      <c r="GK108" s="21"/>
      <c r="GL108" s="21"/>
      <c r="GM108" s="168">
        <v>27928000</v>
      </c>
      <c r="GN108" s="168">
        <v>1347000</v>
      </c>
      <c r="GO108" s="168">
        <v>-293000</v>
      </c>
      <c r="GP108" s="168">
        <v>1336000</v>
      </c>
      <c r="GQ108" s="21"/>
      <c r="GR108" s="168">
        <v>11000</v>
      </c>
      <c r="GS108" s="168">
        <v>27965000</v>
      </c>
      <c r="GT108" s="168">
        <v>923000</v>
      </c>
      <c r="GU108" s="21"/>
      <c r="GV108" s="21"/>
      <c r="GW108" s="21"/>
      <c r="GX108" s="21"/>
      <c r="GY108" s="21"/>
      <c r="GZ108" s="21"/>
      <c r="HA108" s="21"/>
      <c r="HB108" s="21"/>
      <c r="HC108" s="21"/>
      <c r="HD108" s="21"/>
      <c r="HE108" s="168">
        <v>41947000</v>
      </c>
      <c r="HF108" s="168">
        <v>26458000</v>
      </c>
      <c r="HG108" s="21"/>
      <c r="HH108" s="21"/>
      <c r="HI108" s="168">
        <v>6381000</v>
      </c>
      <c r="HJ108" s="168">
        <v>616000</v>
      </c>
      <c r="HK108" s="21"/>
      <c r="HL108" s="21"/>
      <c r="HM108" s="21"/>
      <c r="HN108" s="21"/>
      <c r="HO108" s="168">
        <v>33480000</v>
      </c>
      <c r="HP108" s="168">
        <v>19549000</v>
      </c>
      <c r="HQ108" s="21"/>
      <c r="HR108" s="21"/>
      <c r="HS108" s="21"/>
      <c r="HT108" s="21"/>
      <c r="HU108" s="21"/>
      <c r="HV108" s="21"/>
      <c r="HW108" s="21"/>
      <c r="HX108" s="21"/>
      <c r="HY108" s="21"/>
      <c r="HZ108" s="21"/>
      <c r="IA108" s="21"/>
      <c r="IB108" s="21"/>
      <c r="IC108" s="21"/>
      <c r="ID108" s="21"/>
      <c r="IE108" s="168">
        <v>1395000</v>
      </c>
      <c r="IF108" s="168">
        <v>1077000</v>
      </c>
      <c r="IG108" s="21"/>
      <c r="IH108" s="21"/>
      <c r="II108" s="21"/>
      <c r="IJ108" s="21"/>
      <c r="IK108" s="21"/>
      <c r="IL108" s="21"/>
      <c r="IM108" s="21"/>
      <c r="IN108" s="21"/>
      <c r="IO108" s="21"/>
      <c r="IP108" s="21"/>
      <c r="IQ108" s="21"/>
      <c r="IR108" s="21"/>
      <c r="IS108" s="21"/>
      <c r="IT108" s="21"/>
      <c r="IU108" s="168">
        <v>409000</v>
      </c>
      <c r="IV108" s="168">
        <v>1608000</v>
      </c>
      <c r="IW108" s="168">
        <v>1194000</v>
      </c>
      <c r="IX108" s="168">
        <v>2448000</v>
      </c>
      <c r="IY108" s="168">
        <v>-785000</v>
      </c>
      <c r="IZ108" s="168">
        <v>-840000</v>
      </c>
      <c r="JA108" s="21"/>
      <c r="JB108" s="21"/>
      <c r="JC108" s="21"/>
      <c r="JD108" s="21"/>
      <c r="JE108" s="21"/>
      <c r="JF108" s="21"/>
      <c r="JG108" s="21"/>
      <c r="JH108" s="21"/>
      <c r="JI108" s="168">
        <v>160741000</v>
      </c>
      <c r="JJ108" s="168">
        <v>117881000</v>
      </c>
      <c r="JK108" s="21"/>
      <c r="JL108" s="21"/>
      <c r="JM108" s="168">
        <v>161935000</v>
      </c>
      <c r="JN108" s="168">
        <v>120329000</v>
      </c>
      <c r="JO108" s="21"/>
      <c r="JP108" s="21"/>
      <c r="JQ108" s="21"/>
      <c r="JR108" s="21"/>
      <c r="JS108" s="21"/>
      <c r="JT108" s="21"/>
      <c r="JU108" s="21"/>
      <c r="JV108" s="21"/>
      <c r="JW108" s="168">
        <v>155554000</v>
      </c>
      <c r="JX108" s="168">
        <v>119713000</v>
      </c>
      <c r="JY108" s="21"/>
      <c r="JZ108" s="21"/>
      <c r="KA108" s="21"/>
      <c r="KB108" s="21"/>
      <c r="KC108" s="21"/>
      <c r="KD108" s="21"/>
      <c r="KE108" s="21"/>
      <c r="KF108" s="21"/>
      <c r="KG108" s="21"/>
      <c r="KH108" s="21"/>
      <c r="KI108" s="21"/>
      <c r="KJ108" s="21"/>
      <c r="KK108" s="21"/>
      <c r="KL108" s="21"/>
      <c r="KM108" s="21"/>
      <c r="KN108" s="21"/>
      <c r="KO108" s="21"/>
      <c r="KP108" s="21"/>
      <c r="KQ108" s="21"/>
      <c r="KR108" s="21"/>
      <c r="KS108" s="21"/>
      <c r="KT108" s="21"/>
      <c r="KU108" s="21"/>
      <c r="KV108" s="21"/>
      <c r="KW108" s="21"/>
      <c r="KX108" s="21"/>
      <c r="KY108" s="21"/>
      <c r="KZ108" s="21"/>
      <c r="LA108" s="168">
        <v>51000</v>
      </c>
      <c r="LB108" s="168">
        <v>1028000</v>
      </c>
      <c r="LC108" s="21"/>
      <c r="LD108" s="21"/>
      <c r="LE108" s="21"/>
      <c r="LF108" s="21"/>
      <c r="LG108" s="21"/>
      <c r="LH108" s="21"/>
      <c r="LI108" s="21"/>
      <c r="LJ108" s="21"/>
      <c r="LK108" s="168">
        <v>9750000</v>
      </c>
      <c r="LL108" s="168">
        <v>39128000</v>
      </c>
      <c r="LM108" s="21"/>
      <c r="LN108" s="21"/>
      <c r="LO108" s="21"/>
      <c r="LP108" s="21"/>
      <c r="LQ108" s="21"/>
      <c r="LR108" s="21"/>
      <c r="LS108" s="21"/>
      <c r="LT108" s="21"/>
      <c r="LU108" s="21"/>
      <c r="LV108" s="21"/>
      <c r="LW108" s="21"/>
      <c r="LX108" s="21"/>
      <c r="LY108" s="21"/>
      <c r="LZ108" s="21"/>
      <c r="MA108" s="21"/>
      <c r="MB108" s="21"/>
      <c r="MC108" s="168">
        <v>19499000</v>
      </c>
      <c r="MD108" s="168">
        <v>42961000</v>
      </c>
      <c r="ME108" s="21"/>
      <c r="MF108" s="168">
        <v>3000000</v>
      </c>
      <c r="MG108" s="21"/>
      <c r="MH108" s="21"/>
      <c r="MI108" s="21"/>
      <c r="MJ108" s="21"/>
      <c r="MK108" s="21"/>
      <c r="ML108" s="21"/>
      <c r="MM108" s="21"/>
      <c r="MN108" s="21"/>
      <c r="MO108" s="21"/>
      <c r="MP108" s="21"/>
      <c r="MQ108" s="21"/>
      <c r="MR108" s="21"/>
      <c r="MS108" s="21"/>
      <c r="MT108" s="21"/>
      <c r="MU108" s="21"/>
      <c r="MV108" s="21"/>
      <c r="MW108" s="21"/>
      <c r="MX108" s="21"/>
      <c r="MY108" s="21"/>
      <c r="MZ108" s="21"/>
      <c r="NA108" s="21"/>
      <c r="NB108" s="21"/>
      <c r="NC108" s="21"/>
      <c r="ND108" s="21"/>
      <c r="NE108" s="21"/>
      <c r="NF108" s="21"/>
      <c r="NG108" s="168">
        <v>14193000</v>
      </c>
      <c r="NH108" s="168">
        <v>41930000</v>
      </c>
      <c r="NI108" s="21"/>
      <c r="NJ108" s="21"/>
      <c r="NK108" s="168">
        <v>3435000</v>
      </c>
      <c r="NL108" s="168">
        <v>2031000</v>
      </c>
      <c r="NM108" s="168">
        <v>33682000</v>
      </c>
      <c r="NN108" s="168">
        <v>114067000</v>
      </c>
      <c r="NO108" s="168">
        <v>51954000</v>
      </c>
      <c r="NP108" s="168">
        <v>176657000</v>
      </c>
      <c r="NQ108" s="168" t="s">
        <v>1407</v>
      </c>
      <c r="NR108" s="168" t="s">
        <v>797</v>
      </c>
      <c r="NS108" s="168" t="s">
        <v>770</v>
      </c>
      <c r="NT108" s="168" t="s">
        <v>771</v>
      </c>
      <c r="NU108" s="168">
        <v>7001</v>
      </c>
      <c r="NV108" s="168" t="s">
        <v>2104</v>
      </c>
      <c r="NW108" s="168" t="s">
        <v>28</v>
      </c>
      <c r="NX108" s="168" t="s">
        <v>25</v>
      </c>
      <c r="NY108" s="169">
        <v>42855</v>
      </c>
      <c r="NZ108" s="169">
        <v>42490</v>
      </c>
      <c r="OA108" s="169">
        <v>43059</v>
      </c>
      <c r="OB108" s="168" t="s">
        <v>1408</v>
      </c>
      <c r="OC108" s="168">
        <v>12</v>
      </c>
      <c r="OD108" s="168" t="s">
        <v>2123</v>
      </c>
      <c r="OE108" s="168" t="s">
        <v>2485</v>
      </c>
      <c r="OF108" s="168" t="s">
        <v>2521</v>
      </c>
      <c r="OG108" s="168" t="s">
        <v>1853</v>
      </c>
      <c r="OH108" s="168" t="s">
        <v>815</v>
      </c>
      <c r="OI108" s="168" t="s">
        <v>766</v>
      </c>
      <c r="OJ108" s="168" t="s">
        <v>3240</v>
      </c>
      <c r="OK108" s="168" t="s">
        <v>796</v>
      </c>
    </row>
    <row r="109" spans="1:401" x14ac:dyDescent="0.2">
      <c r="A109" s="170" t="str">
        <f>Liste[[#This Row],[Siren]]</f>
        <v>503544538</v>
      </c>
      <c r="B109" s="198" t="str">
        <f>Liste[[#This Row],[Dénomination]]&amp;" - comptes "&amp;YEAR(Liste[[#This Row],[Date de cloture de l''exercice]])</f>
        <v>NOVA GROUPE S.A. - comptes 2017</v>
      </c>
      <c r="C109" s="21"/>
      <c r="D109" s="21"/>
      <c r="E109" s="21"/>
      <c r="F109" s="168">
        <v>5023425</v>
      </c>
      <c r="G109" s="168">
        <v>4929107</v>
      </c>
      <c r="H109" s="21"/>
      <c r="I109" s="21"/>
      <c r="J109" s="168">
        <v>713778</v>
      </c>
      <c r="K109" s="168">
        <v>799986</v>
      </c>
      <c r="L109" s="21"/>
      <c r="M109" s="21"/>
      <c r="N109" s="21"/>
      <c r="O109" s="21"/>
      <c r="P109" s="21"/>
      <c r="Q109" s="21"/>
      <c r="R109" s="168">
        <v>269805</v>
      </c>
      <c r="S109" s="168">
        <v>234946</v>
      </c>
      <c r="T109" s="21"/>
      <c r="U109" s="21"/>
      <c r="V109" s="168">
        <v>5966</v>
      </c>
      <c r="W109" s="168">
        <v>1966</v>
      </c>
      <c r="X109" s="21"/>
      <c r="Y109" s="21"/>
      <c r="Z109" s="168">
        <v>48190</v>
      </c>
      <c r="AA109" s="168">
        <v>33125</v>
      </c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168">
        <v>59051</v>
      </c>
      <c r="AM109" s="168">
        <v>35854</v>
      </c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168">
        <v>1290388</v>
      </c>
      <c r="BA109" s="168">
        <v>1357437</v>
      </c>
      <c r="BB109" s="21"/>
      <c r="BC109" s="21"/>
      <c r="BD109" s="168">
        <v>8027968</v>
      </c>
      <c r="BE109" s="168">
        <v>8320012</v>
      </c>
      <c r="BF109" s="21"/>
      <c r="BG109" s="21"/>
      <c r="BH109" s="168">
        <v>33269</v>
      </c>
      <c r="BI109" s="168">
        <v>5102</v>
      </c>
      <c r="BJ109" s="21"/>
      <c r="BK109" s="21"/>
      <c r="BL109" s="168">
        <v>8931047</v>
      </c>
      <c r="BM109" s="168">
        <v>9645617</v>
      </c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168">
        <v>44955262</v>
      </c>
      <c r="BY109" s="168">
        <v>43637150</v>
      </c>
      <c r="BZ109" s="21"/>
      <c r="CA109" s="168">
        <v>1</v>
      </c>
      <c r="CB109" s="168">
        <v>1</v>
      </c>
      <c r="CC109" s="21"/>
      <c r="CD109" s="21"/>
      <c r="CE109" s="21"/>
      <c r="CF109" s="21"/>
      <c r="CG109" s="21"/>
      <c r="CH109" s="21"/>
      <c r="CI109" s="168">
        <v>913102</v>
      </c>
      <c r="CJ109" s="168">
        <v>900867</v>
      </c>
      <c r="CK109" s="21"/>
      <c r="CL109" s="21"/>
      <c r="CM109" s="168">
        <v>5660</v>
      </c>
      <c r="CN109" s="168">
        <v>6343</v>
      </c>
      <c r="CO109" s="21"/>
      <c r="CP109" s="21"/>
      <c r="CQ109" s="168">
        <v>13426596</v>
      </c>
      <c r="CR109" s="168">
        <v>13426596</v>
      </c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168">
        <v>130150</v>
      </c>
      <c r="DH109" s="168">
        <v>141880</v>
      </c>
      <c r="DI109" s="21"/>
      <c r="DJ109" s="21"/>
      <c r="DK109" s="168">
        <v>1732240</v>
      </c>
      <c r="DL109" s="168">
        <v>1543995</v>
      </c>
      <c r="DM109" s="21"/>
      <c r="DN109" s="21"/>
      <c r="DO109" s="168">
        <v>927994</v>
      </c>
      <c r="DP109" s="168">
        <v>1041670</v>
      </c>
      <c r="DQ109" s="21"/>
      <c r="DR109" s="21"/>
      <c r="DS109" s="21"/>
      <c r="DT109" s="21"/>
      <c r="DU109" s="21"/>
      <c r="DV109" s="21"/>
      <c r="DW109" s="168">
        <v>84502</v>
      </c>
      <c r="DX109" s="168">
        <v>82679</v>
      </c>
      <c r="DY109" s="21"/>
      <c r="DZ109" s="21"/>
      <c r="EA109" s="21"/>
      <c r="EB109" s="21"/>
      <c r="EC109" s="21"/>
      <c r="ED109" s="168">
        <v>5976623</v>
      </c>
      <c r="EE109" s="168">
        <v>5549792</v>
      </c>
      <c r="EF109" s="21"/>
      <c r="EG109" s="21"/>
      <c r="EH109" s="21"/>
      <c r="EI109" s="21"/>
      <c r="EJ109" s="21"/>
      <c r="EK109" s="21"/>
      <c r="EL109" s="168">
        <v>24537641</v>
      </c>
      <c r="EM109" s="168">
        <v>25352163</v>
      </c>
      <c r="EN109" s="21"/>
      <c r="EO109" s="21"/>
      <c r="EP109" s="168">
        <v>72285009</v>
      </c>
      <c r="EQ109" s="168">
        <v>68537132</v>
      </c>
      <c r="ER109" s="21"/>
      <c r="ES109" s="21"/>
      <c r="ET109" s="168">
        <v>96822651</v>
      </c>
      <c r="EU109" s="168">
        <v>93889296</v>
      </c>
      <c r="EV109" s="21"/>
      <c r="EW109" s="21"/>
      <c r="EX109" s="168">
        <v>894338</v>
      </c>
      <c r="EY109" s="168">
        <v>894338</v>
      </c>
      <c r="EZ109" s="21"/>
      <c r="FA109" s="21"/>
      <c r="FB109" s="21"/>
      <c r="FC109" s="21"/>
      <c r="FD109" s="21"/>
      <c r="FE109" s="21"/>
      <c r="FF109" s="168">
        <v>3373296</v>
      </c>
      <c r="FG109" s="168">
        <v>1214905</v>
      </c>
      <c r="FH109" s="21"/>
      <c r="FI109" s="168">
        <v>7065</v>
      </c>
      <c r="FJ109" s="168">
        <v>-492628</v>
      </c>
      <c r="FK109" s="21"/>
      <c r="FL109" s="21"/>
      <c r="FM109" s="168">
        <v>200014</v>
      </c>
      <c r="FN109" s="168">
        <v>86734</v>
      </c>
      <c r="FO109" s="21"/>
      <c r="FP109" s="168">
        <v>29887</v>
      </c>
      <c r="FQ109" s="21"/>
      <c r="FR109" s="21"/>
      <c r="FS109" s="168">
        <v>55236</v>
      </c>
      <c r="FT109" s="168">
        <v>410000</v>
      </c>
      <c r="FU109" s="21"/>
      <c r="FV109" s="21"/>
      <c r="FW109" s="168">
        <v>157613</v>
      </c>
      <c r="FX109" s="168">
        <v>98205</v>
      </c>
      <c r="FY109" s="168">
        <v>-51818</v>
      </c>
      <c r="FZ109" s="168">
        <v>45544</v>
      </c>
      <c r="GA109" s="168">
        <v>2668919</v>
      </c>
      <c r="GB109" s="168">
        <v>2486162</v>
      </c>
      <c r="GC109" s="168">
        <v>2315</v>
      </c>
      <c r="GD109" s="168">
        <v>6021</v>
      </c>
      <c r="GE109" s="21"/>
      <c r="GF109" s="168">
        <v>2000</v>
      </c>
      <c r="GG109" s="21"/>
      <c r="GH109" s="21"/>
      <c r="GI109" s="21"/>
      <c r="GJ109" s="21"/>
      <c r="GK109" s="168">
        <v>260000</v>
      </c>
      <c r="GL109" s="168">
        <v>25972</v>
      </c>
      <c r="GM109" s="168">
        <v>4784855</v>
      </c>
      <c r="GN109" s="168">
        <v>4859001</v>
      </c>
      <c r="GO109" s="168">
        <v>4784855</v>
      </c>
      <c r="GP109" s="168">
        <v>4859002</v>
      </c>
      <c r="GQ109" s="21"/>
      <c r="GR109" s="21"/>
      <c r="GS109" s="21"/>
      <c r="GT109" s="21"/>
      <c r="GU109" s="168">
        <v>255250</v>
      </c>
      <c r="GV109" s="168">
        <v>526621</v>
      </c>
      <c r="GW109" s="168">
        <v>262315</v>
      </c>
      <c r="GX109" s="168">
        <v>33993</v>
      </c>
      <c r="GY109" s="168">
        <v>7156184</v>
      </c>
      <c r="GZ109" s="168">
        <v>7083188</v>
      </c>
      <c r="HA109" s="168">
        <v>2838983</v>
      </c>
      <c r="HB109" s="168">
        <v>2853613</v>
      </c>
      <c r="HC109" s="168">
        <v>22255528</v>
      </c>
      <c r="HD109" s="168">
        <v>21152</v>
      </c>
      <c r="HE109" s="168">
        <v>5932429</v>
      </c>
      <c r="HF109" s="168">
        <v>5221473</v>
      </c>
      <c r="HG109" s="168">
        <v>285559</v>
      </c>
      <c r="HH109" s="168">
        <v>361837</v>
      </c>
      <c r="HI109" s="168">
        <v>509800</v>
      </c>
      <c r="HJ109" s="168">
        <v>505561</v>
      </c>
      <c r="HK109" s="168">
        <v>26845</v>
      </c>
      <c r="HL109" s="168">
        <v>10922</v>
      </c>
      <c r="HM109" s="21"/>
      <c r="HN109" s="21"/>
      <c r="HO109" s="168">
        <v>3709113</v>
      </c>
      <c r="HP109" s="168">
        <v>3738950</v>
      </c>
      <c r="HQ109" s="168">
        <v>62683</v>
      </c>
      <c r="HR109" s="168">
        <v>96587</v>
      </c>
      <c r="HS109" s="168">
        <v>63181</v>
      </c>
      <c r="HT109" s="168">
        <v>35319</v>
      </c>
      <c r="HU109" s="168">
        <v>1085810</v>
      </c>
      <c r="HV109" s="168">
        <v>1136152</v>
      </c>
      <c r="HW109" s="21"/>
      <c r="HX109" s="21"/>
      <c r="HY109" s="168">
        <v>1105623</v>
      </c>
      <c r="HZ109" s="168">
        <v>1127922</v>
      </c>
      <c r="IA109" s="168">
        <v>2533850</v>
      </c>
      <c r="IB109" s="168">
        <v>2296038</v>
      </c>
      <c r="IC109" s="21"/>
      <c r="ID109" s="21"/>
      <c r="IE109" s="168">
        <v>1321628</v>
      </c>
      <c r="IF109" s="168">
        <v>1264122</v>
      </c>
      <c r="IG109" s="168">
        <v>1354</v>
      </c>
      <c r="IH109" s="168">
        <v>5240</v>
      </c>
      <c r="II109" s="168">
        <v>80324</v>
      </c>
      <c r="IJ109" s="168">
        <v>116725</v>
      </c>
      <c r="IK109" s="21"/>
      <c r="IL109" s="21"/>
      <c r="IM109" s="168">
        <v>206953</v>
      </c>
      <c r="IN109" s="168">
        <v>-36471</v>
      </c>
      <c r="IO109" s="168">
        <v>1259</v>
      </c>
      <c r="IP109" s="21"/>
      <c r="IQ109" s="21"/>
      <c r="IR109" s="21"/>
      <c r="IS109" s="21"/>
      <c r="IT109" s="21"/>
      <c r="IU109" s="168">
        <v>7604322</v>
      </c>
      <c r="IV109" s="168">
        <v>7935997</v>
      </c>
      <c r="IW109" s="168">
        <v>7371846</v>
      </c>
      <c r="IX109" s="168">
        <v>7746473</v>
      </c>
      <c r="IY109" s="168">
        <v>285955</v>
      </c>
      <c r="IZ109" s="168">
        <v>295327</v>
      </c>
      <c r="JA109" s="168">
        <v>3793879</v>
      </c>
      <c r="JB109" s="168">
        <v>3440994</v>
      </c>
      <c r="JC109" s="21"/>
      <c r="JD109" s="21"/>
      <c r="JE109" s="168">
        <v>10168919</v>
      </c>
      <c r="JF109" s="168">
        <v>10097925</v>
      </c>
      <c r="JG109" s="168">
        <v>7577</v>
      </c>
      <c r="JH109" s="168">
        <v>32807</v>
      </c>
      <c r="JI109" s="168">
        <v>58005317</v>
      </c>
      <c r="JJ109" s="168">
        <v>55766337</v>
      </c>
      <c r="JK109" s="168">
        <v>64045</v>
      </c>
      <c r="JL109" s="168">
        <v>101829</v>
      </c>
      <c r="JM109" s="168">
        <v>4518209</v>
      </c>
      <c r="JN109" s="168">
        <v>3942891</v>
      </c>
      <c r="JO109" s="168">
        <v>350000</v>
      </c>
      <c r="JP109" s="168">
        <v>397156</v>
      </c>
      <c r="JQ109" s="168">
        <v>-192098</v>
      </c>
      <c r="JR109" s="168">
        <v>-7068</v>
      </c>
      <c r="JS109" s="168">
        <v>89348</v>
      </c>
      <c r="JT109" s="168">
        <v>-198005</v>
      </c>
      <c r="JU109" s="168">
        <v>5012336</v>
      </c>
      <c r="JV109" s="21"/>
      <c r="JW109" s="168">
        <v>60858954</v>
      </c>
      <c r="JX109" s="168">
        <v>59569919</v>
      </c>
      <c r="JY109" s="168">
        <v>4990294</v>
      </c>
      <c r="JZ109" s="21"/>
      <c r="KA109" s="168">
        <v>40020689</v>
      </c>
      <c r="KB109" s="168">
        <v>39070899</v>
      </c>
      <c r="KC109" s="168">
        <v>22042</v>
      </c>
      <c r="KD109" s="21"/>
      <c r="KE109" s="168">
        <v>1989827</v>
      </c>
      <c r="KF109" s="168">
        <v>2312692</v>
      </c>
      <c r="KG109" s="21"/>
      <c r="KH109" s="21"/>
      <c r="KI109" s="168">
        <v>13836102</v>
      </c>
      <c r="KJ109" s="168">
        <v>13670015</v>
      </c>
      <c r="KK109" s="21"/>
      <c r="KL109" s="21"/>
      <c r="KM109" s="21"/>
      <c r="KN109" s="21"/>
      <c r="KO109" s="21"/>
      <c r="KP109" s="21"/>
      <c r="KQ109" s="168">
        <v>4331596</v>
      </c>
      <c r="KR109" s="168">
        <v>3990356</v>
      </c>
      <c r="KS109" s="21"/>
      <c r="KT109" s="21"/>
      <c r="KU109" s="168">
        <v>54106231</v>
      </c>
      <c r="KV109" s="168">
        <v>50634774</v>
      </c>
      <c r="KW109" s="21"/>
      <c r="KX109" s="21"/>
      <c r="KY109" s="168">
        <v>20505</v>
      </c>
      <c r="KZ109" s="168">
        <v>12854</v>
      </c>
      <c r="LA109" s="168">
        <v>38920500</v>
      </c>
      <c r="LB109" s="168">
        <v>38930500</v>
      </c>
      <c r="LC109" s="21"/>
      <c r="LD109" s="21"/>
      <c r="LE109" s="168">
        <v>-51818</v>
      </c>
      <c r="LF109" s="168">
        <v>45544</v>
      </c>
      <c r="LG109" s="21"/>
      <c r="LH109" s="21"/>
      <c r="LI109" s="168">
        <v>3309836</v>
      </c>
      <c r="LJ109" s="168">
        <v>3650246</v>
      </c>
      <c r="LK109" s="168">
        <v>6766609</v>
      </c>
      <c r="LL109" s="168">
        <v>6858060</v>
      </c>
      <c r="LM109" s="21"/>
      <c r="LN109" s="21"/>
      <c r="LO109" s="21"/>
      <c r="LP109" s="21"/>
      <c r="LQ109" s="21"/>
      <c r="LR109" s="21"/>
      <c r="LS109" s="21"/>
      <c r="LT109" s="21"/>
      <c r="LU109" s="21"/>
      <c r="LV109" s="21"/>
      <c r="LW109" s="21"/>
      <c r="LX109" s="21"/>
      <c r="LY109" s="21"/>
      <c r="LZ109" s="21"/>
      <c r="MA109" s="21"/>
      <c r="MB109" s="21"/>
      <c r="MC109" s="168">
        <v>132981</v>
      </c>
      <c r="MD109" s="168">
        <v>134284</v>
      </c>
      <c r="ME109" s="21"/>
      <c r="MF109" s="21"/>
      <c r="MG109" s="168">
        <v>23</v>
      </c>
      <c r="MH109" s="168">
        <v>23</v>
      </c>
      <c r="MI109" s="21"/>
      <c r="MJ109" s="21"/>
      <c r="MK109" s="21"/>
      <c r="ML109" s="21"/>
      <c r="MM109" s="168">
        <v>3784172</v>
      </c>
      <c r="MN109" s="168">
        <v>5698372</v>
      </c>
      <c r="MO109" s="168">
        <v>1962247</v>
      </c>
      <c r="MP109" s="168">
        <v>2277580</v>
      </c>
      <c r="MQ109" s="21"/>
      <c r="MR109" s="21"/>
      <c r="MS109" s="21"/>
      <c r="MT109" s="21"/>
      <c r="MU109" s="21"/>
      <c r="MV109" s="21"/>
      <c r="MW109" s="168">
        <v>3440959</v>
      </c>
      <c r="MX109" s="168">
        <v>3177830</v>
      </c>
      <c r="MY109" s="21"/>
      <c r="MZ109" s="21"/>
      <c r="NA109" s="21"/>
      <c r="NB109" s="21"/>
      <c r="NC109" s="168">
        <v>4836673</v>
      </c>
      <c r="ND109" s="168">
        <v>4813458</v>
      </c>
      <c r="NE109" s="21"/>
      <c r="NF109" s="21"/>
      <c r="NG109" s="168">
        <v>73466565</v>
      </c>
      <c r="NH109" s="168">
        <v>70158699</v>
      </c>
      <c r="NI109" s="21"/>
      <c r="NJ109" s="21"/>
      <c r="NK109" s="168">
        <v>1048115</v>
      </c>
      <c r="NL109" s="168">
        <v>1108820</v>
      </c>
      <c r="NM109" s="168">
        <v>20345699</v>
      </c>
      <c r="NN109" s="168">
        <v>20344172</v>
      </c>
      <c r="NO109" s="168">
        <v>96822651</v>
      </c>
      <c r="NP109" s="168">
        <v>93889296</v>
      </c>
      <c r="NQ109" s="168" t="s">
        <v>904</v>
      </c>
      <c r="NR109" s="168" t="s">
        <v>1072</v>
      </c>
      <c r="NS109" s="168" t="s">
        <v>770</v>
      </c>
      <c r="NT109" s="168" t="s">
        <v>771</v>
      </c>
      <c r="NU109" s="168">
        <v>7501</v>
      </c>
      <c r="NV109" s="168" t="s">
        <v>2104</v>
      </c>
      <c r="NW109" s="168" t="s">
        <v>28</v>
      </c>
      <c r="NX109" s="168" t="s">
        <v>25</v>
      </c>
      <c r="NY109" s="169">
        <v>42855</v>
      </c>
      <c r="NZ109" s="169">
        <v>42490</v>
      </c>
      <c r="OA109" s="169">
        <v>43038</v>
      </c>
      <c r="OB109" s="168" t="s">
        <v>1073</v>
      </c>
      <c r="OC109" s="168">
        <v>12</v>
      </c>
      <c r="OD109" s="168" t="s">
        <v>2106</v>
      </c>
      <c r="OE109" s="168" t="s">
        <v>2268</v>
      </c>
      <c r="OF109" s="168" t="s">
        <v>2269</v>
      </c>
      <c r="OG109" s="168" t="s">
        <v>1866</v>
      </c>
      <c r="OH109" s="168" t="s">
        <v>765</v>
      </c>
      <c r="OI109" s="168" t="s">
        <v>766</v>
      </c>
      <c r="OJ109" s="168" t="s">
        <v>3240</v>
      </c>
      <c r="OK109" s="168" t="s">
        <v>1071</v>
      </c>
    </row>
    <row r="110" spans="1:401" x14ac:dyDescent="0.2">
      <c r="A110" s="170" t="str">
        <f>Liste[[#This Row],[Siren]]</f>
        <v>452772395</v>
      </c>
      <c r="B110" s="198" t="str">
        <f>Liste[[#This Row],[Dénomination]]&amp;" - comptes "&amp;YEAR(Liste[[#This Row],[Date de cloture de l''exercice]])</f>
        <v>GROUPE LE FEUNTEUN - comptes 2017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168">
        <v>17000</v>
      </c>
      <c r="S110" s="168">
        <v>18000</v>
      </c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168">
        <v>15811000</v>
      </c>
      <c r="BE110" s="168">
        <v>12973000</v>
      </c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168">
        <v>6232000</v>
      </c>
      <c r="EI110" s="168">
        <v>6262000</v>
      </c>
      <c r="EJ110" s="21"/>
      <c r="EK110" s="21"/>
      <c r="EL110" s="168">
        <v>8965000</v>
      </c>
      <c r="EM110" s="168">
        <v>7926000</v>
      </c>
      <c r="EN110" s="21"/>
      <c r="EO110" s="21"/>
      <c r="EP110" s="168">
        <v>26196000</v>
      </c>
      <c r="EQ110" s="168">
        <v>22894000</v>
      </c>
      <c r="ER110" s="21"/>
      <c r="ES110" s="21"/>
      <c r="ET110" s="168">
        <v>35181000</v>
      </c>
      <c r="EU110" s="168">
        <v>30729000</v>
      </c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168">
        <v>1530000</v>
      </c>
      <c r="FL110" s="168">
        <v>1019000</v>
      </c>
      <c r="FM110" s="21"/>
      <c r="FN110" s="21"/>
      <c r="FO110" s="21"/>
      <c r="FP110" s="21"/>
      <c r="FQ110" s="21"/>
      <c r="FR110" s="21"/>
      <c r="FS110" s="21"/>
      <c r="FT110" s="21"/>
      <c r="FU110" s="21"/>
      <c r="FV110" s="21"/>
      <c r="FW110" s="168">
        <v>492000</v>
      </c>
      <c r="FX110" s="168">
        <v>507000</v>
      </c>
      <c r="FY110" s="21"/>
      <c r="FZ110" s="21"/>
      <c r="GA110" s="21"/>
      <c r="GB110" s="21"/>
      <c r="GC110" s="21"/>
      <c r="GD110" s="21"/>
      <c r="GE110" s="21"/>
      <c r="GF110" s="21"/>
      <c r="GG110" s="21"/>
      <c r="GH110" s="21"/>
      <c r="GI110" s="21"/>
      <c r="GJ110" s="21"/>
      <c r="GK110" s="21"/>
      <c r="GL110" s="21"/>
      <c r="GM110" s="21"/>
      <c r="GN110" s="21"/>
      <c r="GO110" s="21"/>
      <c r="GP110" s="21"/>
      <c r="GQ110" s="21"/>
      <c r="GR110" s="21"/>
      <c r="GS110" s="21"/>
      <c r="GT110" s="21"/>
      <c r="GU110" s="21"/>
      <c r="GV110" s="21"/>
      <c r="GW110" s="21"/>
      <c r="GX110" s="21"/>
      <c r="GY110" s="21"/>
      <c r="GZ110" s="21"/>
      <c r="HA110" s="21"/>
      <c r="HB110" s="21"/>
      <c r="HC110" s="21"/>
      <c r="HD110" s="21"/>
      <c r="HE110" s="21"/>
      <c r="HF110" s="21"/>
      <c r="HG110" s="21"/>
      <c r="HH110" s="21"/>
      <c r="HI110" s="168">
        <v>21000</v>
      </c>
      <c r="HJ110" s="168">
        <v>3000</v>
      </c>
      <c r="HK110" s="21"/>
      <c r="HL110" s="21"/>
      <c r="HM110" s="21"/>
      <c r="HN110" s="21"/>
      <c r="HO110" s="21"/>
      <c r="HP110" s="21"/>
      <c r="HQ110" s="21"/>
      <c r="HR110" s="21"/>
      <c r="HS110" s="21"/>
      <c r="HT110" s="21"/>
      <c r="HU110" s="21"/>
      <c r="HV110" s="21"/>
      <c r="HW110" s="21"/>
      <c r="HX110" s="21"/>
      <c r="HY110" s="21"/>
      <c r="HZ110" s="21"/>
      <c r="IA110" s="21"/>
      <c r="IB110" s="21"/>
      <c r="IC110" s="21"/>
      <c r="ID110" s="21"/>
      <c r="IE110" s="168">
        <v>255000</v>
      </c>
      <c r="IF110" s="168">
        <v>196000</v>
      </c>
      <c r="IG110" s="21"/>
      <c r="IH110" s="21"/>
      <c r="II110" s="21"/>
      <c r="IJ110" s="21"/>
      <c r="IK110" s="21"/>
      <c r="IL110" s="21"/>
      <c r="IM110" s="21"/>
      <c r="IN110" s="21"/>
      <c r="IO110" s="21"/>
      <c r="IP110" s="21"/>
      <c r="IQ110" s="21"/>
      <c r="IR110" s="21"/>
      <c r="IS110" s="21"/>
      <c r="IT110" s="21"/>
      <c r="IU110" s="21"/>
      <c r="IV110" s="21"/>
      <c r="IW110" s="21"/>
      <c r="IX110" s="21"/>
      <c r="IY110" s="21"/>
      <c r="IZ110" s="21"/>
      <c r="JA110" s="21"/>
      <c r="JB110" s="21"/>
      <c r="JC110" s="21"/>
      <c r="JD110" s="21"/>
      <c r="JE110" s="21"/>
      <c r="JF110" s="21"/>
      <c r="JG110" s="21"/>
      <c r="JH110" s="21"/>
      <c r="JI110" s="21"/>
      <c r="JJ110" s="21"/>
      <c r="JK110" s="21"/>
      <c r="JL110" s="21"/>
      <c r="JM110" s="21"/>
      <c r="JN110" s="21"/>
      <c r="JO110" s="21"/>
      <c r="JP110" s="21"/>
      <c r="JQ110" s="21"/>
      <c r="JR110" s="21"/>
      <c r="JS110" s="21"/>
      <c r="JT110" s="21"/>
      <c r="JU110" s="21"/>
      <c r="JV110" s="21"/>
      <c r="JW110" s="21"/>
      <c r="JX110" s="21"/>
      <c r="JY110" s="21"/>
      <c r="JZ110" s="21"/>
      <c r="KA110" s="21"/>
      <c r="KB110" s="21"/>
      <c r="KC110" s="21"/>
      <c r="KD110" s="21"/>
      <c r="KE110" s="21"/>
      <c r="KF110" s="21"/>
      <c r="KG110" s="21"/>
      <c r="KH110" s="21"/>
      <c r="KI110" s="21"/>
      <c r="KJ110" s="21"/>
      <c r="KK110" s="21"/>
      <c r="KL110" s="21"/>
      <c r="KM110" s="21"/>
      <c r="KN110" s="21"/>
      <c r="KO110" s="21"/>
      <c r="KP110" s="21"/>
      <c r="KQ110" s="21"/>
      <c r="KR110" s="21"/>
      <c r="KS110" s="21"/>
      <c r="KT110" s="21"/>
      <c r="KU110" s="21"/>
      <c r="KV110" s="21"/>
      <c r="KW110" s="21"/>
      <c r="KX110" s="21"/>
      <c r="KY110" s="21"/>
      <c r="KZ110" s="21"/>
      <c r="LA110" s="168">
        <v>3600000</v>
      </c>
      <c r="LB110" s="168">
        <v>3600000</v>
      </c>
      <c r="LC110" s="21"/>
      <c r="LD110" s="21"/>
      <c r="LE110" s="21"/>
      <c r="LF110" s="21"/>
      <c r="LG110" s="21"/>
      <c r="LH110" s="21"/>
      <c r="LI110" s="21"/>
      <c r="LJ110" s="21"/>
      <c r="LK110" s="168">
        <v>9890000</v>
      </c>
      <c r="LL110" s="168">
        <v>8761000</v>
      </c>
      <c r="LM110" s="21"/>
      <c r="LN110" s="21"/>
      <c r="LO110" s="21"/>
      <c r="LP110" s="21"/>
      <c r="LQ110" s="21"/>
      <c r="LR110" s="21"/>
      <c r="LS110" s="21"/>
      <c r="LT110" s="21"/>
      <c r="LU110" s="21"/>
      <c r="LV110" s="21"/>
      <c r="LW110" s="21"/>
      <c r="LX110" s="21"/>
      <c r="LY110" s="21"/>
      <c r="LZ110" s="21"/>
      <c r="MA110" s="168">
        <v>3000</v>
      </c>
      <c r="MB110" s="168">
        <v>2000</v>
      </c>
      <c r="MC110" s="21"/>
      <c r="MD110" s="21"/>
      <c r="ME110" s="21"/>
      <c r="MF110" s="21"/>
      <c r="MG110" s="21"/>
      <c r="MH110" s="21"/>
      <c r="MI110" s="21"/>
      <c r="MJ110" s="21"/>
      <c r="MK110" s="21"/>
      <c r="ML110" s="21"/>
      <c r="MM110" s="21"/>
      <c r="MN110" s="21"/>
      <c r="MO110" s="21"/>
      <c r="MP110" s="21"/>
      <c r="MQ110" s="21"/>
      <c r="MR110" s="21"/>
      <c r="MS110" s="21"/>
      <c r="MT110" s="21"/>
      <c r="MU110" s="21"/>
      <c r="MV110" s="21"/>
      <c r="MW110" s="21"/>
      <c r="MX110" s="21"/>
      <c r="MY110" s="21"/>
      <c r="MZ110" s="21"/>
      <c r="NA110" s="21"/>
      <c r="NB110" s="21"/>
      <c r="NC110" s="168">
        <v>6819000</v>
      </c>
      <c r="ND110" s="168">
        <v>6096000</v>
      </c>
      <c r="NE110" s="21"/>
      <c r="NF110" s="21"/>
      <c r="NG110" s="21"/>
      <c r="NH110" s="21"/>
      <c r="NI110" s="21"/>
      <c r="NJ110" s="21"/>
      <c r="NK110" s="21"/>
      <c r="NL110" s="21"/>
      <c r="NM110" s="168">
        <v>28362000</v>
      </c>
      <c r="NN110" s="168">
        <v>24633000</v>
      </c>
      <c r="NO110" s="168">
        <v>35181000</v>
      </c>
      <c r="NP110" s="168">
        <v>30729000</v>
      </c>
      <c r="NQ110" s="168" t="s">
        <v>1478</v>
      </c>
      <c r="NR110" s="168" t="s">
        <v>956</v>
      </c>
      <c r="NS110" s="168" t="s">
        <v>770</v>
      </c>
      <c r="NT110" s="168" t="s">
        <v>771</v>
      </c>
      <c r="NU110" s="168">
        <v>4402</v>
      </c>
      <c r="NV110" s="168" t="s">
        <v>2104</v>
      </c>
      <c r="NW110" s="168" t="s">
        <v>28</v>
      </c>
      <c r="NX110" s="168" t="s">
        <v>25</v>
      </c>
      <c r="NY110" s="169">
        <v>42855</v>
      </c>
      <c r="NZ110" s="169">
        <v>42490</v>
      </c>
      <c r="OA110" s="169">
        <v>43017</v>
      </c>
      <c r="OB110" s="168" t="s">
        <v>1479</v>
      </c>
      <c r="OC110" s="168">
        <v>12</v>
      </c>
      <c r="OD110" s="168" t="s">
        <v>2105</v>
      </c>
      <c r="OE110" s="168" t="s">
        <v>2574</v>
      </c>
      <c r="OF110" s="168" t="s">
        <v>2575</v>
      </c>
      <c r="OG110" s="168" t="s">
        <v>2042</v>
      </c>
      <c r="OH110" s="168" t="s">
        <v>1008</v>
      </c>
      <c r="OI110" s="168" t="s">
        <v>766</v>
      </c>
      <c r="OJ110" s="168" t="s">
        <v>3240</v>
      </c>
      <c r="OK110" s="168" t="s">
        <v>3385</v>
      </c>
    </row>
    <row r="111" spans="1:401" x14ac:dyDescent="0.2">
      <c r="A111" s="170" t="str">
        <f>Liste[[#This Row],[Siren]]</f>
        <v>504618786</v>
      </c>
      <c r="B111" s="198" t="str">
        <f>Liste[[#This Row],[Dénomination]]&amp;" - comptes "&amp;YEAR(Liste[[#This Row],[Date de cloture de l''exercice]])</f>
        <v>SAS JBERT - comptes 2017</v>
      </c>
      <c r="C111" s="21"/>
      <c r="D111" s="21"/>
      <c r="E111" s="168">
        <v>45470</v>
      </c>
      <c r="F111" s="168">
        <v>1993205</v>
      </c>
      <c r="G111" s="168">
        <v>1734797</v>
      </c>
      <c r="H111" s="168">
        <v>2038675</v>
      </c>
      <c r="I111" s="168">
        <v>1533456</v>
      </c>
      <c r="J111" s="168">
        <v>1263845</v>
      </c>
      <c r="K111" s="168">
        <v>384013</v>
      </c>
      <c r="L111" s="168">
        <v>2797301</v>
      </c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168">
        <v>1682069</v>
      </c>
      <c r="AA111" s="168">
        <v>1604621</v>
      </c>
      <c r="AB111" s="168">
        <v>1682069</v>
      </c>
      <c r="AC111" s="21"/>
      <c r="AD111" s="21"/>
      <c r="AE111" s="21"/>
      <c r="AF111" s="21"/>
      <c r="AG111" s="21"/>
      <c r="AH111" s="21"/>
      <c r="AI111" s="21"/>
      <c r="AJ111" s="21"/>
      <c r="AK111" s="21"/>
      <c r="AL111" s="168">
        <v>128042</v>
      </c>
      <c r="AM111" s="168">
        <v>25173</v>
      </c>
      <c r="AN111" s="168">
        <v>128042</v>
      </c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168">
        <v>258962</v>
      </c>
      <c r="BA111" s="168">
        <v>240148</v>
      </c>
      <c r="BB111" s="168">
        <v>258962</v>
      </c>
      <c r="BC111" s="21"/>
      <c r="BD111" s="168">
        <v>183542</v>
      </c>
      <c r="BE111" s="168">
        <v>328970</v>
      </c>
      <c r="BF111" s="168">
        <v>183542</v>
      </c>
      <c r="BG111" s="168">
        <v>84921</v>
      </c>
      <c r="BH111" s="168">
        <v>2849</v>
      </c>
      <c r="BI111" s="168">
        <v>6185</v>
      </c>
      <c r="BJ111" s="168">
        <v>87770</v>
      </c>
      <c r="BK111" s="168">
        <v>8439089</v>
      </c>
      <c r="BL111" s="168">
        <v>8065398</v>
      </c>
      <c r="BM111" s="168">
        <v>6924179</v>
      </c>
      <c r="BN111" s="168">
        <v>16504487</v>
      </c>
      <c r="BO111" s="21"/>
      <c r="BP111" s="21"/>
      <c r="BQ111" s="21"/>
      <c r="BR111" s="21"/>
      <c r="BS111" s="21"/>
      <c r="BT111" s="21"/>
      <c r="BU111" s="21"/>
      <c r="BV111" s="21"/>
      <c r="BW111" s="21"/>
      <c r="BX111" s="168">
        <v>2025334</v>
      </c>
      <c r="BY111" s="168">
        <v>1488124</v>
      </c>
      <c r="BZ111" s="168">
        <v>2025334</v>
      </c>
      <c r="CA111" s="21"/>
      <c r="CB111" s="21"/>
      <c r="CC111" s="21"/>
      <c r="CD111" s="168">
        <v>11707291</v>
      </c>
      <c r="CE111" s="168">
        <v>1224513</v>
      </c>
      <c r="CF111" s="168">
        <v>1706200</v>
      </c>
      <c r="CG111" s="168">
        <v>12931804</v>
      </c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168">
        <v>912865</v>
      </c>
      <c r="DE111" s="21"/>
      <c r="DF111" s="168">
        <v>1253847</v>
      </c>
      <c r="DG111" s="168">
        <v>808325</v>
      </c>
      <c r="DH111" s="168">
        <v>500427</v>
      </c>
      <c r="DI111" s="168">
        <v>2062172</v>
      </c>
      <c r="DJ111" s="168">
        <v>62768</v>
      </c>
      <c r="DK111" s="168">
        <v>5701652</v>
      </c>
      <c r="DL111" s="168">
        <v>5370686</v>
      </c>
      <c r="DM111" s="168">
        <v>5764420</v>
      </c>
      <c r="DN111" s="21"/>
      <c r="DO111" s="21"/>
      <c r="DP111" s="21"/>
      <c r="DQ111" s="21"/>
      <c r="DR111" s="21"/>
      <c r="DS111" s="21"/>
      <c r="DT111" s="21"/>
      <c r="DU111" s="21"/>
      <c r="DV111" s="21"/>
      <c r="DW111" s="168">
        <v>99</v>
      </c>
      <c r="DX111" s="168">
        <v>1277</v>
      </c>
      <c r="DY111" s="168">
        <v>99</v>
      </c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168">
        <v>11331105</v>
      </c>
      <c r="EL111" s="168">
        <v>14609884</v>
      </c>
      <c r="EM111" s="168">
        <v>12761280</v>
      </c>
      <c r="EN111" s="168">
        <v>25940989</v>
      </c>
      <c r="EO111" s="168">
        <v>108238</v>
      </c>
      <c r="EP111" s="168">
        <v>10492017</v>
      </c>
      <c r="EQ111" s="168">
        <v>9392667</v>
      </c>
      <c r="ER111" s="168">
        <v>10600255</v>
      </c>
      <c r="ES111" s="168">
        <v>23146634</v>
      </c>
      <c r="ET111" s="168">
        <v>26326412</v>
      </c>
      <c r="EU111" s="168">
        <v>23860149</v>
      </c>
      <c r="EV111" s="168">
        <v>49473046</v>
      </c>
      <c r="EW111" s="168">
        <v>19792</v>
      </c>
      <c r="EX111" s="168">
        <v>2584880</v>
      </c>
      <c r="EY111" s="168">
        <v>2225294</v>
      </c>
      <c r="EZ111" s="168">
        <v>2604672</v>
      </c>
      <c r="FA111" s="21"/>
      <c r="FB111" s="21"/>
      <c r="FC111" s="21"/>
      <c r="FD111" s="21"/>
      <c r="FE111" s="21"/>
      <c r="FF111" s="21"/>
      <c r="FG111" s="21"/>
      <c r="FH111" s="21"/>
      <c r="FI111" s="168">
        <v>70329</v>
      </c>
      <c r="FJ111" s="168">
        <v>15834</v>
      </c>
      <c r="FK111" s="21"/>
      <c r="FL111" s="21"/>
      <c r="FM111" s="168">
        <v>23653</v>
      </c>
      <c r="FN111" s="168">
        <v>334401</v>
      </c>
      <c r="FO111" s="168">
        <v>15169</v>
      </c>
      <c r="FP111" s="21"/>
      <c r="FQ111" s="168">
        <v>481687</v>
      </c>
      <c r="FR111" s="168">
        <v>830835</v>
      </c>
      <c r="FS111" s="168">
        <v>58795</v>
      </c>
      <c r="FT111" s="168">
        <v>22406</v>
      </c>
      <c r="FU111" s="168">
        <v>68324</v>
      </c>
      <c r="FV111" s="168">
        <v>59449</v>
      </c>
      <c r="FW111" s="168">
        <v>639984</v>
      </c>
      <c r="FX111" s="168">
        <v>750642</v>
      </c>
      <c r="FY111" s="168">
        <v>48790</v>
      </c>
      <c r="FZ111" s="168">
        <v>55879</v>
      </c>
      <c r="GA111" s="21"/>
      <c r="GB111" s="21"/>
      <c r="GC111" s="168">
        <v>167946</v>
      </c>
      <c r="GD111" s="168">
        <v>254741</v>
      </c>
      <c r="GE111" s="21"/>
      <c r="GF111" s="21"/>
      <c r="GG111" s="21"/>
      <c r="GH111" s="21"/>
      <c r="GI111" s="21"/>
      <c r="GJ111" s="21"/>
      <c r="GK111" s="21"/>
      <c r="GL111" s="21"/>
      <c r="GM111" s="168">
        <v>1236366</v>
      </c>
      <c r="GN111" s="168">
        <v>1088061</v>
      </c>
      <c r="GO111" s="168">
        <v>1766843</v>
      </c>
      <c r="GP111" s="168">
        <v>1974775</v>
      </c>
      <c r="GQ111" s="21"/>
      <c r="GR111" s="21"/>
      <c r="GS111" s="21"/>
      <c r="GT111" s="21"/>
      <c r="GU111" s="168">
        <v>97617</v>
      </c>
      <c r="GV111" s="168">
        <v>356807</v>
      </c>
      <c r="GW111" s="168">
        <v>167946</v>
      </c>
      <c r="GX111" s="168">
        <v>372641</v>
      </c>
      <c r="GY111" s="168">
        <v>54110788</v>
      </c>
      <c r="GZ111" s="168">
        <v>51903090</v>
      </c>
      <c r="HA111" s="168">
        <v>130359</v>
      </c>
      <c r="HB111" s="168">
        <v>125365</v>
      </c>
      <c r="HC111" s="168">
        <v>3960362</v>
      </c>
      <c r="HD111" s="168">
        <v>3602197</v>
      </c>
      <c r="HE111" s="168">
        <v>28449</v>
      </c>
      <c r="HF111" s="168">
        <v>25400</v>
      </c>
      <c r="HG111" s="168">
        <v>526748</v>
      </c>
      <c r="HH111" s="168">
        <v>151140</v>
      </c>
      <c r="HI111" s="168">
        <v>428149</v>
      </c>
      <c r="HJ111" s="168">
        <v>341513</v>
      </c>
      <c r="HK111" s="21"/>
      <c r="HL111" s="21"/>
      <c r="HM111" s="168">
        <v>26</v>
      </c>
      <c r="HN111" s="21"/>
      <c r="HO111" s="168">
        <v>1859555</v>
      </c>
      <c r="HP111" s="168">
        <v>1741640</v>
      </c>
      <c r="HQ111" s="21"/>
      <c r="HR111" s="21"/>
      <c r="HS111" s="21"/>
      <c r="HT111" s="21"/>
      <c r="HU111" s="168">
        <v>949323</v>
      </c>
      <c r="HV111" s="168">
        <v>766975</v>
      </c>
      <c r="HW111" s="21"/>
      <c r="HX111" s="21"/>
      <c r="HY111" s="168">
        <v>51120</v>
      </c>
      <c r="HZ111" s="168">
        <v>52492</v>
      </c>
      <c r="IA111" s="168">
        <v>108238</v>
      </c>
      <c r="IB111" s="168">
        <v>211655</v>
      </c>
      <c r="IC111" s="21"/>
      <c r="ID111" s="21"/>
      <c r="IE111" s="168">
        <v>1170516</v>
      </c>
      <c r="IF111" s="168">
        <v>1175450</v>
      </c>
      <c r="IG111" s="168">
        <v>178296</v>
      </c>
      <c r="IH111" s="168">
        <v>181156</v>
      </c>
      <c r="II111" s="21"/>
      <c r="IJ111" s="21"/>
      <c r="IK111" s="21"/>
      <c r="IL111" s="21"/>
      <c r="IM111" s="21"/>
      <c r="IN111" s="21"/>
      <c r="IO111" s="168">
        <v>8</v>
      </c>
      <c r="IP111" s="168">
        <v>20</v>
      </c>
      <c r="IQ111" s="168">
        <v>-523124</v>
      </c>
      <c r="IR111" s="168">
        <v>-151600</v>
      </c>
      <c r="IS111" s="21"/>
      <c r="IT111" s="168">
        <v>765</v>
      </c>
      <c r="IU111" s="168">
        <v>2404822</v>
      </c>
      <c r="IV111" s="168">
        <v>2769032</v>
      </c>
      <c r="IW111" s="168">
        <v>2579512</v>
      </c>
      <c r="IX111" s="168">
        <v>2949865</v>
      </c>
      <c r="IY111" s="168">
        <v>-174690</v>
      </c>
      <c r="IZ111" s="168">
        <v>-180833</v>
      </c>
      <c r="JA111" s="168">
        <v>440422</v>
      </c>
      <c r="JB111" s="168">
        <v>428235</v>
      </c>
      <c r="JC111" s="21"/>
      <c r="JD111" s="21"/>
      <c r="JE111" s="168">
        <v>5071601</v>
      </c>
      <c r="JF111" s="168">
        <v>4830148</v>
      </c>
      <c r="JG111" s="168">
        <v>52340</v>
      </c>
      <c r="JH111" s="168">
        <v>17319</v>
      </c>
      <c r="JI111" s="168">
        <v>67191093</v>
      </c>
      <c r="JJ111" s="168">
        <v>64539104</v>
      </c>
      <c r="JK111" s="168">
        <v>178322</v>
      </c>
      <c r="JL111" s="168">
        <v>181159</v>
      </c>
      <c r="JM111" s="168">
        <v>920911</v>
      </c>
      <c r="JN111" s="168">
        <v>787067</v>
      </c>
      <c r="JO111" s="168">
        <v>3632</v>
      </c>
      <c r="JP111" s="168">
        <v>326</v>
      </c>
      <c r="JQ111" s="168">
        <v>-249218</v>
      </c>
      <c r="JR111" s="168">
        <v>104692</v>
      </c>
      <c r="JS111" s="21"/>
      <c r="JT111" s="21"/>
      <c r="JU111" s="21"/>
      <c r="JV111" s="21"/>
      <c r="JW111" s="168">
        <v>68849694</v>
      </c>
      <c r="JX111" s="168">
        <v>66701902</v>
      </c>
      <c r="JY111" s="21"/>
      <c r="JZ111" s="21"/>
      <c r="KA111" s="168">
        <v>45362</v>
      </c>
      <c r="KB111" s="168">
        <v>33512</v>
      </c>
      <c r="KC111" s="21"/>
      <c r="KD111" s="21"/>
      <c r="KE111" s="168">
        <v>1413134</v>
      </c>
      <c r="KF111" s="168">
        <v>1354529</v>
      </c>
      <c r="KG111" s="21"/>
      <c r="KH111" s="21"/>
      <c r="KI111" s="168">
        <v>67391198</v>
      </c>
      <c r="KJ111" s="168">
        <v>65313861</v>
      </c>
      <c r="KK111" s="21"/>
      <c r="KL111" s="21"/>
      <c r="KM111" s="21"/>
      <c r="KN111" s="21"/>
      <c r="KO111" s="21"/>
      <c r="KP111" s="21"/>
      <c r="KQ111" s="168">
        <v>294379</v>
      </c>
      <c r="KR111" s="168">
        <v>371658</v>
      </c>
      <c r="KS111" s="21"/>
      <c r="KT111" s="21"/>
      <c r="KU111" s="168">
        <v>530961</v>
      </c>
      <c r="KV111" s="168">
        <v>717842</v>
      </c>
      <c r="KW111" s="21"/>
      <c r="KX111" s="21"/>
      <c r="KY111" s="21"/>
      <c r="KZ111" s="21"/>
      <c r="LA111" s="168">
        <v>2484790</v>
      </c>
      <c r="LB111" s="168">
        <v>2484790</v>
      </c>
      <c r="LC111" s="21"/>
      <c r="LD111" s="21"/>
      <c r="LE111" s="168">
        <v>48790</v>
      </c>
      <c r="LF111" s="168">
        <v>55879</v>
      </c>
      <c r="LG111" s="21"/>
      <c r="LH111" s="21"/>
      <c r="LI111" s="168">
        <v>3022449</v>
      </c>
      <c r="LJ111" s="168">
        <v>2753050</v>
      </c>
      <c r="LK111" s="168">
        <v>4756918</v>
      </c>
      <c r="LL111" s="168">
        <v>4345415</v>
      </c>
      <c r="LM111" s="168">
        <v>80220</v>
      </c>
      <c r="LN111" s="168">
        <v>528759</v>
      </c>
      <c r="LO111" s="21"/>
      <c r="LP111" s="21"/>
      <c r="LQ111" s="21"/>
      <c r="LR111" s="21"/>
      <c r="LS111" s="21"/>
      <c r="LT111" s="21"/>
      <c r="LU111" s="21"/>
      <c r="LV111" s="21"/>
      <c r="LW111" s="21"/>
      <c r="LX111" s="21"/>
      <c r="LY111" s="21"/>
      <c r="LZ111" s="21"/>
      <c r="MA111" s="168">
        <v>13009817</v>
      </c>
      <c r="MB111" s="168">
        <v>11593093</v>
      </c>
      <c r="MC111" s="168">
        <v>592479</v>
      </c>
      <c r="MD111" s="168">
        <v>621136</v>
      </c>
      <c r="ME111" s="21"/>
      <c r="MF111" s="21"/>
      <c r="MG111" s="168">
        <v>925051</v>
      </c>
      <c r="MH111" s="168">
        <v>860218</v>
      </c>
      <c r="MI111" s="168">
        <v>25</v>
      </c>
      <c r="MJ111" s="168">
        <v>25</v>
      </c>
      <c r="MK111" s="21"/>
      <c r="ML111" s="21"/>
      <c r="MM111" s="168">
        <v>34117</v>
      </c>
      <c r="MN111" s="168">
        <v>37684</v>
      </c>
      <c r="MO111" s="21"/>
      <c r="MP111" s="21"/>
      <c r="MQ111" s="168">
        <v>51120</v>
      </c>
      <c r="MR111" s="168">
        <v>52492</v>
      </c>
      <c r="MS111" s="21"/>
      <c r="MT111" s="21"/>
      <c r="MU111" s="21"/>
      <c r="MV111" s="21"/>
      <c r="MW111" s="168">
        <v>248479</v>
      </c>
      <c r="MX111" s="168">
        <v>248474</v>
      </c>
      <c r="MY111" s="21"/>
      <c r="MZ111" s="21"/>
      <c r="NA111" s="21"/>
      <c r="NB111" s="21"/>
      <c r="NC111" s="168">
        <v>1236366</v>
      </c>
      <c r="ND111" s="168">
        <v>1088061</v>
      </c>
      <c r="NE111" s="21"/>
      <c r="NF111" s="21"/>
      <c r="NG111" s="168">
        <v>3265427</v>
      </c>
      <c r="NH111" s="168">
        <v>2371702</v>
      </c>
      <c r="NI111" s="21"/>
      <c r="NJ111" s="21"/>
      <c r="NK111" s="168">
        <v>234697</v>
      </c>
      <c r="NL111" s="168">
        <v>215097</v>
      </c>
      <c r="NM111" s="168">
        <v>21850117</v>
      </c>
      <c r="NN111" s="168">
        <v>20360639</v>
      </c>
      <c r="NO111" s="168">
        <v>26326412</v>
      </c>
      <c r="NP111" s="168">
        <v>23860149</v>
      </c>
      <c r="NQ111" s="168" t="s">
        <v>995</v>
      </c>
      <c r="NR111" s="168" t="s">
        <v>769</v>
      </c>
      <c r="NS111" s="168" t="s">
        <v>770</v>
      </c>
      <c r="NT111" s="168" t="s">
        <v>771</v>
      </c>
      <c r="NU111" s="168">
        <v>2104</v>
      </c>
      <c r="NV111" s="168" t="s">
        <v>2104</v>
      </c>
      <c r="NW111" s="168" t="s">
        <v>28</v>
      </c>
      <c r="NX111" s="168" t="s">
        <v>25</v>
      </c>
      <c r="NY111" s="169">
        <v>42855</v>
      </c>
      <c r="NZ111" s="169">
        <v>42490</v>
      </c>
      <c r="OA111" s="169">
        <v>43054</v>
      </c>
      <c r="OB111" s="168" t="s">
        <v>1082</v>
      </c>
      <c r="OC111" s="168">
        <v>12</v>
      </c>
      <c r="OD111" s="168" t="s">
        <v>2105</v>
      </c>
      <c r="OE111" s="168" t="s">
        <v>2457</v>
      </c>
      <c r="OF111" s="168" t="s">
        <v>2279</v>
      </c>
      <c r="OG111" s="168" t="s">
        <v>1871</v>
      </c>
      <c r="OH111" s="168" t="s">
        <v>913</v>
      </c>
      <c r="OI111" s="168" t="s">
        <v>766</v>
      </c>
      <c r="OJ111" s="168" t="s">
        <v>3240</v>
      </c>
      <c r="OK111" s="168" t="s">
        <v>767</v>
      </c>
    </row>
    <row r="112" spans="1:401" x14ac:dyDescent="0.2">
      <c r="A112" s="170" t="str">
        <f>Liste[[#This Row],[Siren]]</f>
        <v>805022704</v>
      </c>
      <c r="B112" s="198" t="str">
        <f>Liste[[#This Row],[Dénomination]]&amp;" - comptes "&amp;YEAR(Liste[[#This Row],[Date de cloture de l''exercice]])</f>
        <v>CETI - comptes 2017</v>
      </c>
      <c r="C112" s="21"/>
      <c r="D112" s="21"/>
      <c r="E112" s="21"/>
      <c r="F112" s="168">
        <v>8919675</v>
      </c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168">
        <v>4501371</v>
      </c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168">
        <v>753352</v>
      </c>
      <c r="BY112" s="21"/>
      <c r="BZ112" s="21"/>
      <c r="CA112" s="21"/>
      <c r="CB112" s="21"/>
      <c r="CC112" s="21"/>
      <c r="CD112" s="21"/>
      <c r="CE112" s="168">
        <v>778825</v>
      </c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168">
        <v>80563</v>
      </c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168">
        <v>5199990</v>
      </c>
      <c r="EM112" s="21"/>
      <c r="EN112" s="21"/>
      <c r="EO112" s="21"/>
      <c r="EP112" s="168">
        <v>18664025</v>
      </c>
      <c r="EQ112" s="21"/>
      <c r="ER112" s="21"/>
      <c r="ES112" s="21"/>
      <c r="ET112" s="168">
        <v>25025290</v>
      </c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168">
        <v>-159872</v>
      </c>
      <c r="FJ112" s="21"/>
      <c r="FK112" s="21"/>
      <c r="FL112" s="21"/>
      <c r="FM112" s="21"/>
      <c r="FN112" s="21"/>
      <c r="FO112" s="21"/>
      <c r="FP112" s="21"/>
      <c r="FQ112" s="168">
        <v>78670</v>
      </c>
      <c r="FR112" s="21"/>
      <c r="FS112" s="21"/>
      <c r="FT112" s="21"/>
      <c r="FU112" s="21"/>
      <c r="FV112" s="21"/>
      <c r="FW112" s="168">
        <v>296575</v>
      </c>
      <c r="FX112" s="21"/>
      <c r="FY112" s="21"/>
      <c r="FZ112" s="21"/>
      <c r="GA112" s="21"/>
      <c r="GB112" s="21"/>
      <c r="GC112" s="21"/>
      <c r="GD112" s="21"/>
      <c r="GE112" s="21"/>
      <c r="GF112" s="21"/>
      <c r="GG112" s="21"/>
      <c r="GH112" s="21"/>
      <c r="GI112" s="21"/>
      <c r="GJ112" s="21"/>
      <c r="GK112" s="21"/>
      <c r="GL112" s="21"/>
      <c r="GM112" s="168">
        <v>1262757</v>
      </c>
      <c r="GN112" s="21"/>
      <c r="GO112" s="168">
        <v>1326625</v>
      </c>
      <c r="GP112" s="21"/>
      <c r="GQ112" s="168">
        <v>14802</v>
      </c>
      <c r="GR112" s="21"/>
      <c r="GS112" s="168">
        <v>1262757</v>
      </c>
      <c r="GT112" s="21"/>
      <c r="GU112" s="168">
        <v>276662</v>
      </c>
      <c r="GV112" s="21"/>
      <c r="GW112" s="168">
        <v>116790</v>
      </c>
      <c r="GX112" s="21"/>
      <c r="GY112" s="21"/>
      <c r="GZ112" s="21"/>
      <c r="HA112" s="21"/>
      <c r="HB112" s="21"/>
      <c r="HC112" s="168">
        <v>5822658</v>
      </c>
      <c r="HD112" s="21"/>
      <c r="HE112" s="21"/>
      <c r="HF112" s="21"/>
      <c r="HG112" s="21"/>
      <c r="HH112" s="21"/>
      <c r="HI112" s="168">
        <v>50</v>
      </c>
      <c r="HJ112" s="21"/>
      <c r="HK112" s="21"/>
      <c r="HL112" s="21"/>
      <c r="HM112" s="21"/>
      <c r="HN112" s="21"/>
      <c r="HO112" s="168">
        <v>12221026</v>
      </c>
      <c r="HP112" s="21"/>
      <c r="HQ112" s="21"/>
      <c r="HR112" s="21"/>
      <c r="HS112" s="21"/>
      <c r="HT112" s="21"/>
      <c r="HU112" s="168">
        <v>984332</v>
      </c>
      <c r="HV112" s="21"/>
      <c r="HW112" s="21"/>
      <c r="HX112" s="21"/>
      <c r="HY112" s="168">
        <v>50000</v>
      </c>
      <c r="HZ112" s="21"/>
      <c r="IA112" s="21"/>
      <c r="IB112" s="21"/>
      <c r="IC112" s="21"/>
      <c r="ID112" s="21"/>
      <c r="IE112" s="168">
        <v>580995</v>
      </c>
      <c r="IF112" s="21"/>
      <c r="IG112" s="21"/>
      <c r="IH112" s="21"/>
      <c r="II112" s="21"/>
      <c r="IJ112" s="21"/>
      <c r="IK112" s="21"/>
      <c r="IL112" s="21"/>
      <c r="IM112" s="168">
        <v>-623574</v>
      </c>
      <c r="IN112" s="21"/>
      <c r="IO112" s="21"/>
      <c r="IP112" s="21"/>
      <c r="IQ112" s="21"/>
      <c r="IR112" s="21"/>
      <c r="IS112" s="21"/>
      <c r="IT112" s="21"/>
      <c r="IU112" s="168">
        <v>1783072</v>
      </c>
      <c r="IV112" s="21"/>
      <c r="IW112" s="168">
        <v>-2025461</v>
      </c>
      <c r="IX112" s="21"/>
      <c r="IY112" s="168">
        <v>-242389</v>
      </c>
      <c r="IZ112" s="21"/>
      <c r="JA112" s="168">
        <v>242471</v>
      </c>
      <c r="JB112" s="21"/>
      <c r="JC112" s="21"/>
      <c r="JD112" s="21"/>
      <c r="JE112" s="21"/>
      <c r="JF112" s="21"/>
      <c r="JG112" s="168">
        <v>42991</v>
      </c>
      <c r="JH112" s="21"/>
      <c r="JI112" s="168">
        <v>49540310</v>
      </c>
      <c r="JJ112" s="21"/>
      <c r="JK112" s="168">
        <v>245150</v>
      </c>
      <c r="JL112" s="21"/>
      <c r="JM112" s="168">
        <v>-338062</v>
      </c>
      <c r="JN112" s="21"/>
      <c r="JO112" s="168">
        <v>2761</v>
      </c>
      <c r="JP112" s="21"/>
      <c r="JQ112" s="21"/>
      <c r="JR112" s="21"/>
      <c r="JS112" s="21"/>
      <c r="JT112" s="21"/>
      <c r="JU112" s="21"/>
      <c r="JV112" s="21"/>
      <c r="JW112" s="168">
        <v>51903833</v>
      </c>
      <c r="JX112" s="21"/>
      <c r="JY112" s="21"/>
      <c r="JZ112" s="21"/>
      <c r="KA112" s="21"/>
      <c r="KB112" s="21"/>
      <c r="KC112" s="21"/>
      <c r="KD112" s="21"/>
      <c r="KE112" s="21"/>
      <c r="KF112" s="21"/>
      <c r="KG112" s="21"/>
      <c r="KH112" s="21"/>
      <c r="KI112" s="168">
        <v>47325</v>
      </c>
      <c r="KJ112" s="21"/>
      <c r="KK112" s="168">
        <v>18591</v>
      </c>
      <c r="KL112" s="21"/>
      <c r="KM112" s="21"/>
      <c r="KN112" s="21"/>
      <c r="KO112" s="21"/>
      <c r="KP112" s="21"/>
      <c r="KQ112" s="168">
        <v>588451</v>
      </c>
      <c r="KR112" s="21"/>
      <c r="KS112" s="21"/>
      <c r="KT112" s="21"/>
      <c r="KU112" s="21"/>
      <c r="KV112" s="21"/>
      <c r="KW112" s="21"/>
      <c r="KX112" s="21"/>
      <c r="KY112" s="21"/>
      <c r="KZ112" s="21"/>
      <c r="LA112" s="168">
        <v>1520100</v>
      </c>
      <c r="LB112" s="21"/>
      <c r="LC112" s="21"/>
      <c r="LD112" s="21"/>
      <c r="LE112" s="21"/>
      <c r="LF112" s="21"/>
      <c r="LG112" s="21"/>
      <c r="LH112" s="21"/>
      <c r="LI112" s="168">
        <v>3600448</v>
      </c>
      <c r="LJ112" s="21"/>
      <c r="LK112" s="168">
        <v>6852533</v>
      </c>
      <c r="LL112" s="21"/>
      <c r="LM112" s="168">
        <v>66961</v>
      </c>
      <c r="LN112" s="21"/>
      <c r="LO112" s="21"/>
      <c r="LP112" s="21"/>
      <c r="LQ112" s="21"/>
      <c r="LR112" s="21"/>
      <c r="LS112" s="21"/>
      <c r="LT112" s="21"/>
      <c r="LU112" s="21"/>
      <c r="LV112" s="21"/>
      <c r="LW112" s="21"/>
      <c r="LX112" s="21"/>
      <c r="LY112" s="21"/>
      <c r="LZ112" s="21"/>
      <c r="MA112" s="21"/>
      <c r="MB112" s="21"/>
      <c r="MC112" s="168">
        <v>10805508</v>
      </c>
      <c r="MD112" s="21"/>
      <c r="ME112" s="21"/>
      <c r="MF112" s="21"/>
      <c r="MG112" s="21"/>
      <c r="MH112" s="21"/>
      <c r="MI112" s="168">
        <v>4270</v>
      </c>
      <c r="MJ112" s="21"/>
      <c r="MK112" s="21"/>
      <c r="ML112" s="21"/>
      <c r="MM112" s="21"/>
      <c r="MN112" s="21"/>
      <c r="MO112" s="21"/>
      <c r="MP112" s="21"/>
      <c r="MQ112" s="21"/>
      <c r="MR112" s="21"/>
      <c r="MS112" s="21"/>
      <c r="MT112" s="21"/>
      <c r="MU112" s="21"/>
      <c r="MV112" s="21"/>
      <c r="MW112" s="168">
        <v>232450</v>
      </c>
      <c r="MX112" s="21"/>
      <c r="MY112" s="21"/>
      <c r="MZ112" s="21"/>
      <c r="NA112" s="21"/>
      <c r="NB112" s="21"/>
      <c r="NC112" s="168">
        <v>1262757</v>
      </c>
      <c r="ND112" s="21"/>
      <c r="NE112" s="21"/>
      <c r="NF112" s="21"/>
      <c r="NG112" s="168">
        <v>3019577</v>
      </c>
      <c r="NH112" s="21"/>
      <c r="NI112" s="21"/>
      <c r="NJ112" s="21"/>
      <c r="NK112" s="21"/>
      <c r="NL112" s="21"/>
      <c r="NM112" s="168">
        <v>21913901</v>
      </c>
      <c r="NN112" s="21"/>
      <c r="NO112" s="168">
        <v>25025290</v>
      </c>
      <c r="NP112" s="21"/>
      <c r="NQ112" s="168" t="s">
        <v>1137</v>
      </c>
      <c r="NR112" s="168" t="s">
        <v>804</v>
      </c>
      <c r="NS112" s="168" t="s">
        <v>770</v>
      </c>
      <c r="NT112" s="168" t="s">
        <v>771</v>
      </c>
      <c r="NU112" s="168">
        <v>4901</v>
      </c>
      <c r="NV112" s="168" t="s">
        <v>2104</v>
      </c>
      <c r="NW112" s="168" t="s">
        <v>28</v>
      </c>
      <c r="NX112" s="168" t="s">
        <v>25</v>
      </c>
      <c r="NY112" s="169">
        <v>42855</v>
      </c>
      <c r="NZ112" s="169">
        <v>42490</v>
      </c>
      <c r="OA112" s="169">
        <v>43039</v>
      </c>
      <c r="OB112" s="168" t="s">
        <v>1138</v>
      </c>
      <c r="OC112" s="168">
        <v>12</v>
      </c>
      <c r="OD112" s="168" t="s">
        <v>2139</v>
      </c>
      <c r="OE112" s="168" t="s">
        <v>2326</v>
      </c>
      <c r="OF112" s="168" t="s">
        <v>2327</v>
      </c>
      <c r="OG112" s="168" t="s">
        <v>1897</v>
      </c>
      <c r="OH112" s="168" t="s">
        <v>798</v>
      </c>
      <c r="OI112" s="168" t="s">
        <v>766</v>
      </c>
      <c r="OJ112" s="168" t="s">
        <v>3240</v>
      </c>
      <c r="OK112" s="168" t="s">
        <v>803</v>
      </c>
    </row>
    <row r="113" spans="1:401" x14ac:dyDescent="0.2">
      <c r="A113" s="170" t="str">
        <f>Liste[[#This Row],[Siren]]</f>
        <v>583821046</v>
      </c>
      <c r="B113" s="198" t="str">
        <f>Liste[[#This Row],[Dénomination]]&amp;" - comptes "&amp;YEAR(Liste[[#This Row],[Date de cloture de l''exercice]])</f>
        <v>COOPERATIVE METROPOLITAINE D ENTREPRISE GENERALE - comptes 2017</v>
      </c>
      <c r="C113" s="21"/>
      <c r="D113" s="21"/>
      <c r="E113" s="21"/>
      <c r="F113" s="168">
        <v>1985</v>
      </c>
      <c r="G113" s="168">
        <v>1803</v>
      </c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168">
        <v>14385</v>
      </c>
      <c r="BE113" s="168">
        <v>13183</v>
      </c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168">
        <v>14</v>
      </c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168">
        <v>4186</v>
      </c>
      <c r="EM113" s="168">
        <v>4250</v>
      </c>
      <c r="EN113" s="21"/>
      <c r="EO113" s="21"/>
      <c r="EP113" s="168">
        <v>19617</v>
      </c>
      <c r="EQ113" s="168">
        <v>18094</v>
      </c>
      <c r="ER113" s="21"/>
      <c r="ES113" s="21"/>
      <c r="ET113" s="168">
        <v>23803</v>
      </c>
      <c r="EU113" s="168">
        <v>22344</v>
      </c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  <c r="FQ113" s="168">
        <v>44</v>
      </c>
      <c r="FR113" s="168">
        <v>-7</v>
      </c>
      <c r="FS113" s="21"/>
      <c r="FT113" s="21"/>
      <c r="FU113" s="21"/>
      <c r="FV113" s="21"/>
      <c r="FW113" s="21"/>
      <c r="FX113" s="21"/>
      <c r="FY113" s="21"/>
      <c r="FZ113" s="168">
        <v>-1</v>
      </c>
      <c r="GA113" s="21"/>
      <c r="GB113" s="21"/>
      <c r="GC113" s="21"/>
      <c r="GD113" s="21"/>
      <c r="GE113" s="21"/>
      <c r="GF113" s="21"/>
      <c r="GG113" s="21"/>
      <c r="GH113" s="21"/>
      <c r="GI113" s="21"/>
      <c r="GJ113" s="21"/>
      <c r="GK113" s="21"/>
      <c r="GL113" s="21"/>
      <c r="GM113" s="21"/>
      <c r="GN113" s="21"/>
      <c r="GO113" s="168">
        <v>-61</v>
      </c>
      <c r="GP113" s="168">
        <v>-39</v>
      </c>
      <c r="GQ113" s="21"/>
      <c r="GR113" s="21"/>
      <c r="GS113" s="168">
        <v>-61</v>
      </c>
      <c r="GT113" s="168">
        <v>-38</v>
      </c>
      <c r="GU113" s="21"/>
      <c r="GV113" s="21"/>
      <c r="GW113" s="21"/>
      <c r="GX113" s="21"/>
      <c r="GY113" s="168">
        <v>-24282</v>
      </c>
      <c r="GZ113" s="168">
        <v>-17166</v>
      </c>
      <c r="HA113" s="21"/>
      <c r="HB113" s="21"/>
      <c r="HC113" s="168">
        <v>-7111</v>
      </c>
      <c r="HD113" s="168">
        <v>-6441</v>
      </c>
      <c r="HE113" s="168">
        <v>13</v>
      </c>
      <c r="HF113" s="168">
        <v>41</v>
      </c>
      <c r="HG113" s="21"/>
      <c r="HH113" s="21"/>
      <c r="HI113" s="168">
        <v>697</v>
      </c>
      <c r="HJ113" s="168">
        <v>975</v>
      </c>
      <c r="HK113" s="21"/>
      <c r="HL113" s="21"/>
      <c r="HM113" s="21"/>
      <c r="HN113" s="21"/>
      <c r="HO113" s="21"/>
      <c r="HP113" s="21"/>
      <c r="HQ113" s="21"/>
      <c r="HR113" s="21"/>
      <c r="HS113" s="21"/>
      <c r="HT113" s="21"/>
      <c r="HU113" s="168">
        <v>957</v>
      </c>
      <c r="HV113" s="168">
        <v>821</v>
      </c>
      <c r="HW113" s="21"/>
      <c r="HX113" s="21"/>
      <c r="HY113" s="21"/>
      <c r="HZ113" s="21"/>
      <c r="IA113" s="21"/>
      <c r="IB113" s="21"/>
      <c r="IC113" s="21"/>
      <c r="ID113" s="21"/>
      <c r="IE113" s="168">
        <v>235</v>
      </c>
      <c r="IF113" s="168">
        <v>210</v>
      </c>
      <c r="IG113" s="21"/>
      <c r="IH113" s="21"/>
      <c r="II113" s="21"/>
      <c r="IJ113" s="21"/>
      <c r="IK113" s="21"/>
      <c r="IL113" s="21"/>
      <c r="IM113" s="21"/>
      <c r="IN113" s="21"/>
      <c r="IO113" s="21"/>
      <c r="IP113" s="21"/>
      <c r="IQ113" s="21"/>
      <c r="IR113" s="21"/>
      <c r="IS113" s="21"/>
      <c r="IT113" s="21"/>
      <c r="IU113" s="168">
        <v>-94</v>
      </c>
      <c r="IV113" s="168">
        <v>-68</v>
      </c>
      <c r="IW113" s="168">
        <v>-23</v>
      </c>
      <c r="IX113" s="168">
        <v>9</v>
      </c>
      <c r="IY113" s="168">
        <v>-71</v>
      </c>
      <c r="IZ113" s="168">
        <v>-76</v>
      </c>
      <c r="JA113" s="21"/>
      <c r="JB113" s="21"/>
      <c r="JC113" s="21"/>
      <c r="JD113" s="21"/>
      <c r="JE113" s="168">
        <v>8764</v>
      </c>
      <c r="JF113" s="168">
        <v>8633</v>
      </c>
      <c r="JG113" s="21"/>
      <c r="JH113" s="21"/>
      <c r="JI113" s="168">
        <v>41362</v>
      </c>
      <c r="JJ113" s="168">
        <v>-3313</v>
      </c>
      <c r="JK113" s="168">
        <v>-82</v>
      </c>
      <c r="JL113" s="168">
        <v>-94</v>
      </c>
      <c r="JM113" s="168">
        <v>41339</v>
      </c>
      <c r="JN113" s="168">
        <v>33322</v>
      </c>
      <c r="JO113" s="168">
        <v>11</v>
      </c>
      <c r="JP113" s="168">
        <v>18</v>
      </c>
      <c r="JQ113" s="21"/>
      <c r="JR113" s="21"/>
      <c r="JS113" s="21"/>
      <c r="JT113" s="21"/>
      <c r="JU113" s="21"/>
      <c r="JV113" s="21"/>
      <c r="JW113" s="168">
        <v>40642</v>
      </c>
      <c r="JX113" s="168">
        <v>32347</v>
      </c>
      <c r="JY113" s="21"/>
      <c r="JZ113" s="21"/>
      <c r="KA113" s="21"/>
      <c r="KB113" s="21"/>
      <c r="KC113" s="21"/>
      <c r="KD113" s="21"/>
      <c r="KE113" s="21"/>
      <c r="KF113" s="21"/>
      <c r="KG113" s="21"/>
      <c r="KH113" s="21"/>
      <c r="KI113" s="21"/>
      <c r="KJ113" s="21"/>
      <c r="KK113" s="21"/>
      <c r="KL113" s="21"/>
      <c r="KM113" s="21"/>
      <c r="KN113" s="21"/>
      <c r="KO113" s="21"/>
      <c r="KP113" s="21"/>
      <c r="KQ113" s="168">
        <v>9376</v>
      </c>
      <c r="KR113" s="168">
        <v>7441</v>
      </c>
      <c r="KS113" s="21"/>
      <c r="KT113" s="21"/>
      <c r="KU113" s="21"/>
      <c r="KV113" s="21"/>
      <c r="KW113" s="21"/>
      <c r="KX113" s="21"/>
      <c r="KY113" s="21"/>
      <c r="KZ113" s="21"/>
      <c r="LA113" s="168">
        <v>1162</v>
      </c>
      <c r="LB113" s="168">
        <v>1187</v>
      </c>
      <c r="LC113" s="21"/>
      <c r="LD113" s="21"/>
      <c r="LE113" s="21"/>
      <c r="LF113" s="168">
        <v>58</v>
      </c>
      <c r="LG113" s="21"/>
      <c r="LH113" s="21"/>
      <c r="LI113" s="21"/>
      <c r="LJ113" s="21"/>
      <c r="LK113" s="168">
        <v>7247</v>
      </c>
      <c r="LL113" s="168">
        <v>8151</v>
      </c>
      <c r="LM113" s="21"/>
      <c r="LN113" s="21"/>
      <c r="LO113" s="21"/>
      <c r="LP113" s="21"/>
      <c r="LQ113" s="21"/>
      <c r="LR113" s="21"/>
      <c r="LS113" s="21"/>
      <c r="LT113" s="21"/>
      <c r="LU113" s="21"/>
      <c r="LV113" s="21"/>
      <c r="LW113" s="21"/>
      <c r="LX113" s="21"/>
      <c r="LY113" s="21"/>
      <c r="LZ113" s="21"/>
      <c r="MA113" s="21"/>
      <c r="MB113" s="21"/>
      <c r="MC113" s="168">
        <v>3018</v>
      </c>
      <c r="MD113" s="168">
        <v>2705</v>
      </c>
      <c r="ME113" s="21"/>
      <c r="MF113" s="21"/>
      <c r="MG113" s="21"/>
      <c r="MH113" s="21"/>
      <c r="MI113" s="21"/>
      <c r="MJ113" s="21"/>
      <c r="MK113" s="21"/>
      <c r="ML113" s="21"/>
      <c r="MM113" s="21"/>
      <c r="MN113" s="21"/>
      <c r="MO113" s="21"/>
      <c r="MP113" s="21"/>
      <c r="MQ113" s="21"/>
      <c r="MR113" s="21"/>
      <c r="MS113" s="21"/>
      <c r="MT113" s="21"/>
      <c r="MU113" s="21"/>
      <c r="MV113" s="21"/>
      <c r="MW113" s="21"/>
      <c r="MX113" s="21"/>
      <c r="MY113" s="21"/>
      <c r="MZ113" s="21"/>
      <c r="NA113" s="21"/>
      <c r="NB113" s="21"/>
      <c r="NC113" s="168">
        <v>-61</v>
      </c>
      <c r="ND113" s="168">
        <v>-38</v>
      </c>
      <c r="NE113" s="21"/>
      <c r="NF113" s="21"/>
      <c r="NG113" s="168">
        <v>2668</v>
      </c>
      <c r="NH113" s="168">
        <v>2754</v>
      </c>
      <c r="NI113" s="168">
        <v>571</v>
      </c>
      <c r="NJ113" s="168">
        <v>346</v>
      </c>
      <c r="NK113" s="21"/>
      <c r="NL113" s="168">
        <v>58</v>
      </c>
      <c r="NM113" s="168">
        <v>19640</v>
      </c>
      <c r="NN113" s="168">
        <v>18297</v>
      </c>
      <c r="NO113" s="168">
        <v>23803</v>
      </c>
      <c r="NP113" s="168">
        <v>22344</v>
      </c>
      <c r="NQ113" s="168" t="s">
        <v>1182</v>
      </c>
      <c r="NR113" s="168" t="s">
        <v>956</v>
      </c>
      <c r="NS113" s="168" t="s">
        <v>770</v>
      </c>
      <c r="NT113" s="168" t="s">
        <v>771</v>
      </c>
      <c r="NU113" s="168">
        <v>1402</v>
      </c>
      <c r="NV113" s="168" t="s">
        <v>2104</v>
      </c>
      <c r="NW113" s="168" t="s">
        <v>28</v>
      </c>
      <c r="NX113" s="168" t="s">
        <v>25</v>
      </c>
      <c r="NY113" s="169">
        <v>42855</v>
      </c>
      <c r="NZ113" s="169">
        <v>42490</v>
      </c>
      <c r="OA113" s="169">
        <v>43075</v>
      </c>
      <c r="OB113" s="168" t="s">
        <v>1183</v>
      </c>
      <c r="OC113" s="168">
        <v>12</v>
      </c>
      <c r="OD113" s="168" t="s">
        <v>2105</v>
      </c>
      <c r="OE113" s="168" t="s">
        <v>2352</v>
      </c>
      <c r="OF113" s="168" t="s">
        <v>2355</v>
      </c>
      <c r="OG113" s="168" t="s">
        <v>1911</v>
      </c>
      <c r="OH113" s="168" t="s">
        <v>955</v>
      </c>
      <c r="OI113" s="168" t="s">
        <v>766</v>
      </c>
      <c r="OJ113" s="168" t="s">
        <v>3240</v>
      </c>
      <c r="OK113" s="168" t="s">
        <v>3385</v>
      </c>
    </row>
    <row r="114" spans="1:401" x14ac:dyDescent="0.2">
      <c r="A114" s="170" t="str">
        <f>Liste[[#This Row],[Siren]]</f>
        <v>438355398</v>
      </c>
      <c r="B114" s="198" t="str">
        <f>Liste[[#This Row],[Dénomination]]&amp;" - comptes "&amp;YEAR(Liste[[#This Row],[Date de cloture de l''exercice]])</f>
        <v>EM2C Groupe - comptes 2017</v>
      </c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168">
        <v>24677000</v>
      </c>
      <c r="BE114" s="168">
        <v>18775000</v>
      </c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168">
        <v>73000</v>
      </c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168">
        <v>5076000</v>
      </c>
      <c r="EM114" s="168">
        <v>3840000</v>
      </c>
      <c r="EN114" s="21"/>
      <c r="EO114" s="21"/>
      <c r="EP114" s="168">
        <v>55103000</v>
      </c>
      <c r="EQ114" s="168">
        <v>43649000</v>
      </c>
      <c r="ER114" s="21"/>
      <c r="ES114" s="21"/>
      <c r="ET114" s="168">
        <v>60179000</v>
      </c>
      <c r="EU114" s="168">
        <v>47489000</v>
      </c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168">
        <v>757000</v>
      </c>
      <c r="FJ114" s="168">
        <v>-44000</v>
      </c>
      <c r="FK114" s="21"/>
      <c r="FL114" s="21"/>
      <c r="FM114" s="21"/>
      <c r="FN114" s="21"/>
      <c r="FO114" s="21"/>
      <c r="FP114" s="21"/>
      <c r="FQ114" s="21"/>
      <c r="FR114" s="21"/>
      <c r="FS114" s="21"/>
      <c r="FT114" s="21"/>
      <c r="FU114" s="21"/>
      <c r="FV114" s="21"/>
      <c r="FW114" s="168">
        <v>89000</v>
      </c>
      <c r="FX114" s="168">
        <v>-547000</v>
      </c>
      <c r="FY114" s="168">
        <v>-131000</v>
      </c>
      <c r="FZ114" s="168">
        <v>-419000</v>
      </c>
      <c r="GA114" s="21"/>
      <c r="GB114" s="21"/>
      <c r="GC114" s="21"/>
      <c r="GD114" s="21"/>
      <c r="GE114" s="21"/>
      <c r="GF114" s="21"/>
      <c r="GG114" s="21"/>
      <c r="GH114" s="21"/>
      <c r="GI114" s="21"/>
      <c r="GJ114" s="21"/>
      <c r="GK114" s="21"/>
      <c r="GL114" s="21"/>
      <c r="GM114" s="168">
        <v>1758000</v>
      </c>
      <c r="GN114" s="168">
        <v>2465000</v>
      </c>
      <c r="GO114" s="168">
        <v>1686000</v>
      </c>
      <c r="GP114" s="168">
        <v>2465000</v>
      </c>
      <c r="GQ114" s="168">
        <v>72000</v>
      </c>
      <c r="GR114" s="21"/>
      <c r="GS114" s="168">
        <v>1627000</v>
      </c>
      <c r="GT114" s="168">
        <v>2046000</v>
      </c>
      <c r="GU114" s="21"/>
      <c r="GV114" s="21"/>
      <c r="GW114" s="21"/>
      <c r="GX114" s="21"/>
      <c r="GY114" s="21"/>
      <c r="GZ114" s="21"/>
      <c r="HA114" s="21"/>
      <c r="HB114" s="21"/>
      <c r="HC114" s="21"/>
      <c r="HD114" s="21"/>
      <c r="HE114" s="168">
        <v>1076000</v>
      </c>
      <c r="HF114" s="21"/>
      <c r="HG114" s="21"/>
      <c r="HH114" s="21"/>
      <c r="HI114" s="168">
        <v>127000</v>
      </c>
      <c r="HJ114" s="168">
        <v>216000</v>
      </c>
      <c r="HK114" s="21"/>
      <c r="HL114" s="21"/>
      <c r="HM114" s="21"/>
      <c r="HN114" s="21"/>
      <c r="HO114" s="21"/>
      <c r="HP114" s="21"/>
      <c r="HQ114" s="21"/>
      <c r="HR114" s="21"/>
      <c r="HS114" s="21"/>
      <c r="HT114" s="21"/>
      <c r="HU114" s="168">
        <v>142000</v>
      </c>
      <c r="HV114" s="168">
        <v>164000</v>
      </c>
      <c r="HW114" s="168">
        <v>-1428000</v>
      </c>
      <c r="HX114" s="168">
        <v>3000</v>
      </c>
      <c r="HY114" s="21"/>
      <c r="HZ114" s="21"/>
      <c r="IA114" s="21"/>
      <c r="IB114" s="21"/>
      <c r="IC114" s="21"/>
      <c r="ID114" s="21"/>
      <c r="IE114" s="168">
        <v>359000</v>
      </c>
      <c r="IF114" s="168">
        <v>317000</v>
      </c>
      <c r="IG114" s="21"/>
      <c r="IH114" s="21"/>
      <c r="II114" s="21"/>
      <c r="IJ114" s="21"/>
      <c r="IK114" s="21"/>
      <c r="IL114" s="21"/>
      <c r="IM114" s="168">
        <v>3350000</v>
      </c>
      <c r="IN114" s="168">
        <v>-3177000</v>
      </c>
      <c r="IO114" s="21"/>
      <c r="IP114" s="21"/>
      <c r="IQ114" s="21"/>
      <c r="IR114" s="21"/>
      <c r="IS114" s="21"/>
      <c r="IT114" s="21"/>
      <c r="IU114" s="168">
        <v>840000</v>
      </c>
      <c r="IV114" s="168">
        <v>3056000</v>
      </c>
      <c r="IW114" s="168">
        <v>1107000</v>
      </c>
      <c r="IX114" s="168">
        <v>3472000</v>
      </c>
      <c r="IY114" s="168">
        <v>-430000</v>
      </c>
      <c r="IZ114" s="168">
        <v>-364000</v>
      </c>
      <c r="JA114" s="21"/>
      <c r="JB114" s="21"/>
      <c r="JC114" s="21"/>
      <c r="JD114" s="21"/>
      <c r="JE114" s="21"/>
      <c r="JF114" s="21"/>
      <c r="JG114" s="21"/>
      <c r="JH114" s="21"/>
      <c r="JI114" s="168">
        <v>54771000</v>
      </c>
      <c r="JJ114" s="168">
        <v>52303000</v>
      </c>
      <c r="JK114" s="21"/>
      <c r="JL114" s="21"/>
      <c r="JM114" s="168">
        <v>55878000</v>
      </c>
      <c r="JN114" s="168">
        <v>55775000</v>
      </c>
      <c r="JO114" s="21"/>
      <c r="JP114" s="21"/>
      <c r="JQ114" s="21"/>
      <c r="JR114" s="21"/>
      <c r="JS114" s="21"/>
      <c r="JT114" s="21"/>
      <c r="JU114" s="21"/>
      <c r="JV114" s="21"/>
      <c r="JW114" s="168">
        <v>52401000</v>
      </c>
      <c r="JX114" s="168">
        <v>58736000</v>
      </c>
      <c r="JY114" s="21"/>
      <c r="JZ114" s="21"/>
      <c r="KA114" s="21"/>
      <c r="KB114" s="21"/>
      <c r="KC114" s="21"/>
      <c r="KD114" s="21"/>
      <c r="KE114" s="21"/>
      <c r="KF114" s="21"/>
      <c r="KG114" s="21"/>
      <c r="KH114" s="21"/>
      <c r="KI114" s="21"/>
      <c r="KJ114" s="21"/>
      <c r="KK114" s="21"/>
      <c r="KL114" s="21"/>
      <c r="KM114" s="21"/>
      <c r="KN114" s="21"/>
      <c r="KO114" s="21"/>
      <c r="KP114" s="21"/>
      <c r="KQ114" s="21"/>
      <c r="KR114" s="21"/>
      <c r="KS114" s="21"/>
      <c r="KT114" s="21"/>
      <c r="KU114" s="21"/>
      <c r="KV114" s="21"/>
      <c r="KW114" s="21"/>
      <c r="KX114" s="21"/>
      <c r="KY114" s="21"/>
      <c r="KZ114" s="21"/>
      <c r="LA114" s="168">
        <v>2642000</v>
      </c>
      <c r="LB114" s="168">
        <v>2642000</v>
      </c>
      <c r="LC114" s="21"/>
      <c r="LD114" s="21"/>
      <c r="LE114" s="168">
        <v>131000</v>
      </c>
      <c r="LF114" s="168">
        <v>419000</v>
      </c>
      <c r="LG114" s="21"/>
      <c r="LH114" s="21"/>
      <c r="LI114" s="21"/>
      <c r="LJ114" s="21"/>
      <c r="LK114" s="168">
        <v>33251000</v>
      </c>
      <c r="LL114" s="168">
        <v>23437000</v>
      </c>
      <c r="LM114" s="21"/>
      <c r="LN114" s="21"/>
      <c r="LO114" s="21"/>
      <c r="LP114" s="21"/>
      <c r="LQ114" s="21"/>
      <c r="LR114" s="21"/>
      <c r="LS114" s="21"/>
      <c r="LT114" s="21"/>
      <c r="LU114" s="21"/>
      <c r="LV114" s="21"/>
      <c r="LW114" s="21"/>
      <c r="LX114" s="21"/>
      <c r="LY114" s="21"/>
      <c r="LZ114" s="21"/>
      <c r="MA114" s="21"/>
      <c r="MB114" s="21"/>
      <c r="MC114" s="168">
        <v>2763000</v>
      </c>
      <c r="MD114" s="168">
        <v>2366000</v>
      </c>
      <c r="ME114" s="21"/>
      <c r="MF114" s="21"/>
      <c r="MG114" s="21"/>
      <c r="MH114" s="21"/>
      <c r="MI114" s="21"/>
      <c r="MJ114" s="21"/>
      <c r="MK114" s="21"/>
      <c r="ML114" s="21"/>
      <c r="MM114" s="21"/>
      <c r="MN114" s="21"/>
      <c r="MO114" s="21"/>
      <c r="MP114" s="21"/>
      <c r="MQ114" s="21"/>
      <c r="MR114" s="21"/>
      <c r="MS114" s="21"/>
      <c r="MT114" s="21"/>
      <c r="MU114" s="21"/>
      <c r="MV114" s="21"/>
      <c r="MW114" s="21"/>
      <c r="MX114" s="21"/>
      <c r="MY114" s="21"/>
      <c r="MZ114" s="21"/>
      <c r="NA114" s="21"/>
      <c r="NB114" s="21"/>
      <c r="NC114" s="168">
        <v>1627000</v>
      </c>
      <c r="ND114" s="168">
        <v>2046000</v>
      </c>
      <c r="NE114" s="21"/>
      <c r="NF114" s="21"/>
      <c r="NG114" s="168">
        <v>-3779000</v>
      </c>
      <c r="NH114" s="168">
        <v>-4927000</v>
      </c>
      <c r="NI114" s="21"/>
      <c r="NJ114" s="21"/>
      <c r="NK114" s="168">
        <v>1083000</v>
      </c>
      <c r="NL114" s="168">
        <v>479000</v>
      </c>
      <c r="NM114" s="168">
        <v>8008000</v>
      </c>
      <c r="NN114" s="168">
        <v>10618000</v>
      </c>
      <c r="NO114" s="168">
        <v>60179000</v>
      </c>
      <c r="NP114" s="168">
        <v>47489000</v>
      </c>
      <c r="NQ114" s="168" t="s">
        <v>3429</v>
      </c>
      <c r="NR114" s="168" t="s">
        <v>797</v>
      </c>
      <c r="NS114" s="168" t="s">
        <v>770</v>
      </c>
      <c r="NT114" s="168" t="s">
        <v>771</v>
      </c>
      <c r="NU114" s="168">
        <v>6901</v>
      </c>
      <c r="NV114" s="168" t="s">
        <v>2104</v>
      </c>
      <c r="NW114" s="168" t="s">
        <v>28</v>
      </c>
      <c r="NX114" s="168" t="s">
        <v>25</v>
      </c>
      <c r="NY114" s="169">
        <v>42855</v>
      </c>
      <c r="NZ114" s="169">
        <v>42490</v>
      </c>
      <c r="OA114" s="169">
        <v>43117</v>
      </c>
      <c r="OB114" s="168" t="s">
        <v>3430</v>
      </c>
      <c r="OC114" s="168">
        <v>12</v>
      </c>
      <c r="OD114" s="168" t="s">
        <v>2105</v>
      </c>
      <c r="OE114" s="168" t="s">
        <v>3431</v>
      </c>
      <c r="OF114" s="168" t="s">
        <v>3432</v>
      </c>
      <c r="OG114" s="168" t="s">
        <v>3433</v>
      </c>
      <c r="OH114" s="168" t="s">
        <v>819</v>
      </c>
      <c r="OI114" s="168" t="s">
        <v>766</v>
      </c>
      <c r="OJ114" s="168" t="s">
        <v>3240</v>
      </c>
      <c r="OK114" s="168" t="s">
        <v>796</v>
      </c>
    </row>
    <row r="115" spans="1:401" x14ac:dyDescent="0.2">
      <c r="A115" s="170" t="str">
        <f>Liste[[#This Row],[Siren]]</f>
        <v>492408927</v>
      </c>
      <c r="B115" s="198" t="str">
        <f>Liste[[#This Row],[Dénomination]]&amp;" - comptes "&amp;YEAR(Liste[[#This Row],[Date de cloture de l''exercice]])</f>
        <v>LA COMPAGNIE DES ECREHOUS - comptes 2017</v>
      </c>
      <c r="C115" s="21"/>
      <c r="D115" s="21"/>
      <c r="E115" s="21"/>
      <c r="F115" s="168">
        <v>13215238</v>
      </c>
      <c r="G115" s="168">
        <v>9958854</v>
      </c>
      <c r="H115" s="168">
        <v>13215238</v>
      </c>
      <c r="I115" s="168">
        <v>947008</v>
      </c>
      <c r="J115" s="168">
        <v>335353</v>
      </c>
      <c r="K115" s="168">
        <v>434304</v>
      </c>
      <c r="L115" s="168">
        <v>1282361</v>
      </c>
      <c r="M115" s="21"/>
      <c r="N115" s="168">
        <v>601471</v>
      </c>
      <c r="O115" s="168">
        <v>706833</v>
      </c>
      <c r="P115" s="168">
        <v>601471</v>
      </c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168">
        <v>542340</v>
      </c>
      <c r="BA115" s="168">
        <v>503540</v>
      </c>
      <c r="BB115" s="168">
        <v>542340</v>
      </c>
      <c r="BC115" s="21"/>
      <c r="BD115" s="21"/>
      <c r="BE115" s="21"/>
      <c r="BF115" s="21"/>
      <c r="BG115" s="168">
        <v>906840</v>
      </c>
      <c r="BH115" s="168">
        <v>678120</v>
      </c>
      <c r="BI115" s="168">
        <v>940338</v>
      </c>
      <c r="BJ115" s="168">
        <v>1584960</v>
      </c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168">
        <v>36724727</v>
      </c>
      <c r="BY115" s="168">
        <v>11319038</v>
      </c>
      <c r="BZ115" s="168">
        <v>36724727</v>
      </c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168">
        <v>1853848</v>
      </c>
      <c r="EL115" s="168">
        <v>24100611</v>
      </c>
      <c r="EM115" s="168">
        <v>39352623</v>
      </c>
      <c r="EN115" s="168">
        <v>25954459</v>
      </c>
      <c r="EO115" s="21"/>
      <c r="EP115" s="168">
        <v>74207968</v>
      </c>
      <c r="EQ115" s="168">
        <v>36962710</v>
      </c>
      <c r="ER115" s="168">
        <v>74207968</v>
      </c>
      <c r="ES115" s="168">
        <v>1853848</v>
      </c>
      <c r="ET115" s="168">
        <v>98308579</v>
      </c>
      <c r="EU115" s="168">
        <v>76315333</v>
      </c>
      <c r="EV115" s="168">
        <v>100162427</v>
      </c>
      <c r="EW115" s="21"/>
      <c r="EX115" s="21"/>
      <c r="EY115" s="21"/>
      <c r="EZ115" s="21"/>
      <c r="FA115" s="21"/>
      <c r="FB115" s="21"/>
      <c r="FC115" s="21"/>
      <c r="FD115" s="21"/>
      <c r="FE115" s="21"/>
      <c r="FF115" s="168">
        <v>23725663</v>
      </c>
      <c r="FG115" s="168">
        <v>15181278</v>
      </c>
      <c r="FH115" s="168">
        <v>23725663</v>
      </c>
      <c r="FI115" s="168">
        <v>-706643</v>
      </c>
      <c r="FJ115" s="168">
        <v>2237</v>
      </c>
      <c r="FK115" s="168">
        <v>98923792</v>
      </c>
      <c r="FL115" s="168">
        <v>21085860</v>
      </c>
      <c r="FM115" s="168">
        <v>706643</v>
      </c>
      <c r="FN115" s="21"/>
      <c r="FO115" s="21"/>
      <c r="FP115" s="21"/>
      <c r="FQ115" s="21"/>
      <c r="FR115" s="21"/>
      <c r="FS115" s="21"/>
      <c r="FT115" s="21"/>
      <c r="FU115" s="168">
        <v>-673205</v>
      </c>
      <c r="FV115" s="168">
        <v>-1243745</v>
      </c>
      <c r="FW115" s="168">
        <v>5830491</v>
      </c>
      <c r="FX115" s="168">
        <v>3874015</v>
      </c>
      <c r="FY115" s="168">
        <v>84770026</v>
      </c>
      <c r="FZ115" s="168">
        <v>18757089</v>
      </c>
      <c r="GA115" s="21"/>
      <c r="GB115" s="21"/>
      <c r="GC115" s="21"/>
      <c r="GD115" s="21"/>
      <c r="GE115" s="21"/>
      <c r="GF115" s="168">
        <v>2237</v>
      </c>
      <c r="GG115" s="21"/>
      <c r="GH115" s="21"/>
      <c r="GI115" s="21"/>
      <c r="GJ115" s="21"/>
      <c r="GK115" s="21"/>
      <c r="GL115" s="21"/>
      <c r="GM115" s="168">
        <v>98923792</v>
      </c>
      <c r="GN115" s="168">
        <v>21085860</v>
      </c>
      <c r="GO115" s="21"/>
      <c r="GP115" s="21"/>
      <c r="GQ115" s="21"/>
      <c r="GR115" s="21"/>
      <c r="GS115" s="168">
        <v>-4153766</v>
      </c>
      <c r="GT115" s="168">
        <v>2328771</v>
      </c>
      <c r="GU115" s="168">
        <v>706643</v>
      </c>
      <c r="GV115" s="21"/>
      <c r="GW115" s="21"/>
      <c r="GX115" s="168">
        <v>2237</v>
      </c>
      <c r="GY115" s="21"/>
      <c r="GZ115" s="21"/>
      <c r="HA115" s="21"/>
      <c r="HB115" s="21"/>
      <c r="HC115" s="168">
        <v>7310048</v>
      </c>
      <c r="HD115" s="168">
        <v>5860407</v>
      </c>
      <c r="HE115" s="168">
        <v>3629</v>
      </c>
      <c r="HF115" s="168">
        <v>923</v>
      </c>
      <c r="HG115" s="168">
        <v>381123</v>
      </c>
      <c r="HH115" s="21"/>
      <c r="HI115" s="21"/>
      <c r="HJ115" s="21"/>
      <c r="HK115" s="21"/>
      <c r="HL115" s="21"/>
      <c r="HM115" s="168">
        <v>1599180</v>
      </c>
      <c r="HN115" s="168">
        <v>1327411</v>
      </c>
      <c r="HO115" s="168">
        <v>3617258</v>
      </c>
      <c r="HP115" s="168">
        <v>2516224</v>
      </c>
      <c r="HQ115" s="168">
        <v>1485182</v>
      </c>
      <c r="HR115" s="168">
        <v>864175</v>
      </c>
      <c r="HS115" s="168">
        <v>1218470</v>
      </c>
      <c r="HT115" s="168">
        <v>1190404</v>
      </c>
      <c r="HU115" s="168">
        <v>334089</v>
      </c>
      <c r="HV115" s="168">
        <v>216793</v>
      </c>
      <c r="HW115" s="21"/>
      <c r="HX115" s="21"/>
      <c r="HY115" s="21"/>
      <c r="HZ115" s="21"/>
      <c r="IA115" s="21"/>
      <c r="IB115" s="21"/>
      <c r="IC115" s="168">
        <v>239410</v>
      </c>
      <c r="ID115" s="168">
        <v>649310</v>
      </c>
      <c r="IE115" s="168">
        <v>1025913</v>
      </c>
      <c r="IF115" s="168">
        <v>535486</v>
      </c>
      <c r="IG115" s="168">
        <v>20587</v>
      </c>
      <c r="IH115" s="168">
        <v>13327</v>
      </c>
      <c r="II115" s="21"/>
      <c r="IJ115" s="21"/>
      <c r="IK115" s="21"/>
      <c r="IL115" s="21"/>
      <c r="IM115" s="21"/>
      <c r="IN115" s="21"/>
      <c r="IO115" s="21"/>
      <c r="IP115" s="21"/>
      <c r="IQ115" s="168">
        <v>9463092</v>
      </c>
      <c r="IR115" s="21"/>
      <c r="IS115" s="168">
        <v>3256638</v>
      </c>
      <c r="IT115" s="168">
        <v>1349552</v>
      </c>
      <c r="IU115" s="168">
        <v>104787721</v>
      </c>
      <c r="IV115" s="168">
        <v>23713893</v>
      </c>
      <c r="IW115" s="168">
        <v>93163447</v>
      </c>
      <c r="IX115" s="168">
        <v>23935274</v>
      </c>
      <c r="IY115" s="168">
        <v>11624274</v>
      </c>
      <c r="IZ115" s="168">
        <v>-221381</v>
      </c>
      <c r="JA115" s="21"/>
      <c r="JB115" s="168">
        <v>272803</v>
      </c>
      <c r="JC115" s="168">
        <v>649310</v>
      </c>
      <c r="JD115" s="168">
        <v>92886</v>
      </c>
      <c r="JE115" s="168">
        <v>12992444</v>
      </c>
      <c r="JF115" s="168">
        <v>17286363</v>
      </c>
      <c r="JG115" s="21"/>
      <c r="JH115" s="21"/>
      <c r="JI115" s="168">
        <v>25283381</v>
      </c>
      <c r="JJ115" s="168">
        <v>26416196</v>
      </c>
      <c r="JK115" s="168">
        <v>3344359</v>
      </c>
      <c r="JL115" s="168">
        <v>2854223</v>
      </c>
      <c r="JM115" s="168">
        <v>118446828</v>
      </c>
      <c r="JN115" s="168">
        <v>50351470</v>
      </c>
      <c r="JO115" s="168">
        <v>14968633</v>
      </c>
      <c r="JP115" s="168">
        <v>2632842</v>
      </c>
      <c r="JQ115" s="21"/>
      <c r="JR115" s="21"/>
      <c r="JS115" s="21"/>
      <c r="JT115" s="21"/>
      <c r="JU115" s="21"/>
      <c r="JV115" s="21"/>
      <c r="JW115" s="168">
        <v>118446789</v>
      </c>
      <c r="JX115" s="168">
        <v>49962271</v>
      </c>
      <c r="JY115" s="21"/>
      <c r="JZ115" s="21"/>
      <c r="KA115" s="21"/>
      <c r="KB115" s="21"/>
      <c r="KC115" s="21"/>
      <c r="KD115" s="21"/>
      <c r="KE115" s="168">
        <v>118446789</v>
      </c>
      <c r="KF115" s="168">
        <v>49962271</v>
      </c>
      <c r="KG115" s="21"/>
      <c r="KH115" s="21"/>
      <c r="KI115" s="21"/>
      <c r="KJ115" s="21"/>
      <c r="KK115" s="21"/>
      <c r="KL115" s="21"/>
      <c r="KM115" s="21"/>
      <c r="KN115" s="21"/>
      <c r="KO115" s="21"/>
      <c r="KP115" s="21"/>
      <c r="KQ115" s="168">
        <v>80595</v>
      </c>
      <c r="KR115" s="168">
        <v>97831</v>
      </c>
      <c r="KS115" s="21"/>
      <c r="KT115" s="21"/>
      <c r="KU115" s="21"/>
      <c r="KV115" s="21"/>
      <c r="KW115" s="21"/>
      <c r="KX115" s="21"/>
      <c r="KY115" s="21"/>
      <c r="KZ115" s="21"/>
      <c r="LA115" s="168">
        <v>4900000</v>
      </c>
      <c r="LB115" s="168">
        <v>4900000</v>
      </c>
      <c r="LC115" s="21"/>
      <c r="LD115" s="21"/>
      <c r="LE115" s="21"/>
      <c r="LF115" s="21"/>
      <c r="LG115" s="21"/>
      <c r="LH115" s="21"/>
      <c r="LI115" s="168">
        <v>24595124</v>
      </c>
      <c r="LJ115" s="168">
        <v>19719667</v>
      </c>
      <c r="LK115" s="168">
        <v>1034348</v>
      </c>
      <c r="LL115" s="168">
        <v>1170692</v>
      </c>
      <c r="LM115" s="21"/>
      <c r="LN115" s="21"/>
      <c r="LO115" s="21"/>
      <c r="LP115" s="21"/>
      <c r="LQ115" s="21"/>
      <c r="LR115" s="21"/>
      <c r="LS115" s="21"/>
      <c r="LT115" s="21"/>
      <c r="LU115" s="21"/>
      <c r="LV115" s="21"/>
      <c r="LW115" s="21"/>
      <c r="LX115" s="21"/>
      <c r="LY115" s="21"/>
      <c r="LZ115" s="21"/>
      <c r="MA115" s="21"/>
      <c r="MB115" s="21"/>
      <c r="MC115" s="21"/>
      <c r="MD115" s="21"/>
      <c r="ME115" s="21"/>
      <c r="MF115" s="21"/>
      <c r="MG115" s="21"/>
      <c r="MH115" s="21"/>
      <c r="MI115" s="21"/>
      <c r="MJ115" s="21"/>
      <c r="MK115" s="21"/>
      <c r="ML115" s="21"/>
      <c r="MM115" s="168">
        <v>22735</v>
      </c>
      <c r="MN115" s="168">
        <v>53050</v>
      </c>
      <c r="MO115" s="168">
        <v>239410</v>
      </c>
      <c r="MP115" s="168">
        <v>783606</v>
      </c>
      <c r="MQ115" s="21"/>
      <c r="MR115" s="21"/>
      <c r="MS115" s="21"/>
      <c r="MT115" s="21"/>
      <c r="MU115" s="168">
        <v>6000773</v>
      </c>
      <c r="MV115" s="168">
        <v>24941706</v>
      </c>
      <c r="MW115" s="168">
        <v>490000</v>
      </c>
      <c r="MX115" s="168">
        <v>490000</v>
      </c>
      <c r="MY115" s="21"/>
      <c r="MZ115" s="21"/>
      <c r="NA115" s="21"/>
      <c r="NB115" s="21"/>
      <c r="NC115" s="168">
        <v>14153766</v>
      </c>
      <c r="ND115" s="168">
        <v>2328771</v>
      </c>
      <c r="NE115" s="21"/>
      <c r="NF115" s="21"/>
      <c r="NG115" s="168">
        <v>26391519</v>
      </c>
      <c r="NH115" s="168">
        <v>36150142</v>
      </c>
      <c r="NI115" s="21"/>
      <c r="NJ115" s="21"/>
      <c r="NK115" s="168">
        <v>36701197</v>
      </c>
      <c r="NL115" s="168">
        <v>17245394</v>
      </c>
      <c r="NM115" s="168">
        <v>34976453</v>
      </c>
      <c r="NN115" s="168">
        <v>22136191</v>
      </c>
      <c r="NO115" s="168">
        <v>98308579</v>
      </c>
      <c r="NP115" s="168">
        <v>76315333</v>
      </c>
      <c r="NQ115" s="168" t="s">
        <v>836</v>
      </c>
      <c r="NR115" s="168" t="s">
        <v>802</v>
      </c>
      <c r="NS115" s="168" t="s">
        <v>770</v>
      </c>
      <c r="NT115" s="168" t="s">
        <v>771</v>
      </c>
      <c r="NU115" s="168">
        <v>7501</v>
      </c>
      <c r="NV115" s="168" t="s">
        <v>2104</v>
      </c>
      <c r="NW115" s="168" t="s">
        <v>28</v>
      </c>
      <c r="NX115" s="168" t="s">
        <v>25</v>
      </c>
      <c r="NY115" s="169">
        <v>42825</v>
      </c>
      <c r="NZ115" s="169">
        <v>42338</v>
      </c>
      <c r="OA115" s="169">
        <v>43026</v>
      </c>
      <c r="OB115" s="168" t="s">
        <v>1382</v>
      </c>
      <c r="OC115" s="168">
        <v>16</v>
      </c>
      <c r="OD115" s="168" t="s">
        <v>2105</v>
      </c>
      <c r="OE115" s="168" t="s">
        <v>2334</v>
      </c>
      <c r="OF115" s="168" t="s">
        <v>2506</v>
      </c>
      <c r="OG115" s="168" t="s">
        <v>1995</v>
      </c>
      <c r="OH115" s="168" t="s">
        <v>765</v>
      </c>
      <c r="OI115" s="168" t="s">
        <v>766</v>
      </c>
      <c r="OJ115" s="168" t="s">
        <v>3240</v>
      </c>
      <c r="OK115" s="168" t="s">
        <v>801</v>
      </c>
    </row>
    <row r="116" spans="1:401" x14ac:dyDescent="0.2">
      <c r="A116" s="170" t="str">
        <f>Liste[[#This Row],[Siren]]</f>
        <v>493056022</v>
      </c>
      <c r="B116" s="198" t="str">
        <f>Liste[[#This Row],[Dénomination]]&amp;" - comptes "&amp;YEAR(Liste[[#This Row],[Date de cloture de l''exercice]])</f>
        <v>AHADI - comptes 2017</v>
      </c>
      <c r="C116" s="21"/>
      <c r="D116" s="21"/>
      <c r="E116" s="21"/>
      <c r="F116" s="168">
        <v>1614480</v>
      </c>
      <c r="G116" s="168">
        <v>640140</v>
      </c>
      <c r="H116" s="168">
        <v>1614480</v>
      </c>
      <c r="I116" s="168">
        <v>388018</v>
      </c>
      <c r="J116" s="168">
        <v>202648</v>
      </c>
      <c r="K116" s="168">
        <v>101729</v>
      </c>
      <c r="L116" s="168">
        <v>590666</v>
      </c>
      <c r="M116" s="21"/>
      <c r="N116" s="168">
        <v>427118</v>
      </c>
      <c r="O116" s="168">
        <v>177674</v>
      </c>
      <c r="P116" s="168">
        <v>427118</v>
      </c>
      <c r="Q116" s="21"/>
      <c r="R116" s="21"/>
      <c r="S116" s="21"/>
      <c r="T116" s="21"/>
      <c r="U116" s="21"/>
      <c r="V116" s="21"/>
      <c r="W116" s="21"/>
      <c r="X116" s="21"/>
      <c r="Y116" s="21"/>
      <c r="Z116" s="168">
        <v>1225593</v>
      </c>
      <c r="AA116" s="168">
        <v>1427843</v>
      </c>
      <c r="AB116" s="168">
        <v>1225593</v>
      </c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168">
        <v>95</v>
      </c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168">
        <v>198133</v>
      </c>
      <c r="BA116" s="168">
        <v>144856</v>
      </c>
      <c r="BB116" s="168">
        <v>198133</v>
      </c>
      <c r="BC116" s="168">
        <v>8290</v>
      </c>
      <c r="BD116" s="168">
        <v>1728861</v>
      </c>
      <c r="BE116" s="168">
        <v>1408600</v>
      </c>
      <c r="BF116" s="168">
        <v>1737151</v>
      </c>
      <c r="BG116" s="168">
        <v>98574</v>
      </c>
      <c r="BH116" s="168">
        <v>4962</v>
      </c>
      <c r="BI116" s="168">
        <v>8155</v>
      </c>
      <c r="BJ116" s="168">
        <v>103536</v>
      </c>
      <c r="BK116" s="168">
        <v>11514210</v>
      </c>
      <c r="BL116" s="168">
        <v>7682543</v>
      </c>
      <c r="BM116" s="168">
        <v>4634746</v>
      </c>
      <c r="BN116" s="168">
        <v>19196753</v>
      </c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168">
        <v>41551</v>
      </c>
      <c r="CE116" s="168">
        <v>8101407</v>
      </c>
      <c r="CF116" s="21"/>
      <c r="CG116" s="168">
        <v>8142958</v>
      </c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168">
        <v>10074</v>
      </c>
      <c r="CY116" s="168">
        <v>73861</v>
      </c>
      <c r="CZ116" s="21"/>
      <c r="DA116" s="168">
        <v>83935</v>
      </c>
      <c r="DB116" s="21"/>
      <c r="DC116" s="168">
        <v>829727</v>
      </c>
      <c r="DD116" s="168">
        <v>31591</v>
      </c>
      <c r="DE116" s="168">
        <v>829727</v>
      </c>
      <c r="DF116" s="168">
        <v>2882929</v>
      </c>
      <c r="DG116" s="168">
        <v>2114560</v>
      </c>
      <c r="DH116" s="168">
        <v>1452861</v>
      </c>
      <c r="DI116" s="168">
        <v>4997489</v>
      </c>
      <c r="DJ116" s="168">
        <v>56178</v>
      </c>
      <c r="DK116" s="168">
        <v>4272149</v>
      </c>
      <c r="DL116" s="168">
        <v>3530830</v>
      </c>
      <c r="DM116" s="168">
        <v>4328327</v>
      </c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168">
        <v>14997668</v>
      </c>
      <c r="EL116" s="168">
        <v>27052043</v>
      </c>
      <c r="EM116" s="168">
        <v>18462001</v>
      </c>
      <c r="EN116" s="168">
        <v>42049711</v>
      </c>
      <c r="EO116" s="168">
        <v>64468</v>
      </c>
      <c r="EP116" s="168">
        <v>10627226</v>
      </c>
      <c r="EQ116" s="168">
        <v>8993064</v>
      </c>
      <c r="ER116" s="168">
        <v>10691694</v>
      </c>
      <c r="ES116" s="168">
        <v>15062136</v>
      </c>
      <c r="ET116" s="168">
        <v>37679268</v>
      </c>
      <c r="EU116" s="168">
        <v>27455064</v>
      </c>
      <c r="EV116" s="168">
        <v>52741405</v>
      </c>
      <c r="EW116" s="168">
        <v>62313</v>
      </c>
      <c r="EX116" s="168">
        <v>6389623</v>
      </c>
      <c r="EY116" s="168">
        <v>4654980</v>
      </c>
      <c r="EZ116" s="168">
        <v>6451936</v>
      </c>
      <c r="FA116" s="21"/>
      <c r="FB116" s="21"/>
      <c r="FC116" s="21"/>
      <c r="FD116" s="21"/>
      <c r="FE116" s="21"/>
      <c r="FF116" s="21"/>
      <c r="FG116" s="21"/>
      <c r="FH116" s="21"/>
      <c r="FI116" s="168">
        <v>-280571</v>
      </c>
      <c r="FJ116" s="168">
        <v>-170203</v>
      </c>
      <c r="FK116" s="21"/>
      <c r="FL116" s="21"/>
      <c r="FM116" s="168">
        <v>946</v>
      </c>
      <c r="FN116" s="168">
        <v>181736</v>
      </c>
      <c r="FO116" s="168">
        <v>287654</v>
      </c>
      <c r="FP116" s="168">
        <v>15194</v>
      </c>
      <c r="FQ116" s="168">
        <v>41551</v>
      </c>
      <c r="FR116" s="21"/>
      <c r="FS116" s="168">
        <v>19144</v>
      </c>
      <c r="FT116" s="21"/>
      <c r="FU116" s="168">
        <v>-65321</v>
      </c>
      <c r="FV116" s="168">
        <v>-12891</v>
      </c>
      <c r="FW116" s="168">
        <v>836113</v>
      </c>
      <c r="FX116" s="168">
        <v>969206</v>
      </c>
      <c r="FY116" s="168">
        <v>4954</v>
      </c>
      <c r="FZ116" s="168">
        <v>5448</v>
      </c>
      <c r="GA116" s="21"/>
      <c r="GB116" s="21"/>
      <c r="GC116" s="168">
        <v>26673</v>
      </c>
      <c r="GD116" s="168">
        <v>7651</v>
      </c>
      <c r="GE116" s="168">
        <v>500</v>
      </c>
      <c r="GF116" s="168">
        <v>19075</v>
      </c>
      <c r="GG116" s="21"/>
      <c r="GH116" s="21"/>
      <c r="GI116" s="21"/>
      <c r="GJ116" s="21"/>
      <c r="GK116" s="21"/>
      <c r="GL116" s="21"/>
      <c r="GM116" s="168">
        <v>1581820</v>
      </c>
      <c r="GN116" s="168">
        <v>2075811</v>
      </c>
      <c r="GO116" s="21"/>
      <c r="GP116" s="21"/>
      <c r="GQ116" s="168">
        <v>27734</v>
      </c>
      <c r="GR116" s="168">
        <v>89942</v>
      </c>
      <c r="GS116" s="168">
        <v>1576866</v>
      </c>
      <c r="GT116" s="168">
        <v>2070363</v>
      </c>
      <c r="GU116" s="168">
        <v>307744</v>
      </c>
      <c r="GV116" s="168">
        <v>196930</v>
      </c>
      <c r="GW116" s="168">
        <v>27173</v>
      </c>
      <c r="GX116" s="168">
        <v>26727</v>
      </c>
      <c r="GY116" s="168">
        <v>46850965</v>
      </c>
      <c r="GZ116" s="168">
        <v>43857790</v>
      </c>
      <c r="HA116" s="168">
        <v>4664680</v>
      </c>
      <c r="HB116" s="168">
        <v>801874</v>
      </c>
      <c r="HC116" s="168">
        <v>3820330</v>
      </c>
      <c r="HD116" s="168">
        <v>3142370</v>
      </c>
      <c r="HE116" s="168">
        <v>15199</v>
      </c>
      <c r="HF116" s="168">
        <v>30493</v>
      </c>
      <c r="HG116" s="21"/>
      <c r="HH116" s="21"/>
      <c r="HI116" s="168">
        <v>192354</v>
      </c>
      <c r="HJ116" s="168">
        <v>198161</v>
      </c>
      <c r="HK116" s="21"/>
      <c r="HL116" s="21"/>
      <c r="HM116" s="21"/>
      <c r="HN116" s="21"/>
      <c r="HO116" s="168">
        <v>1707379</v>
      </c>
      <c r="HP116" s="168">
        <v>1527909</v>
      </c>
      <c r="HQ116" s="21"/>
      <c r="HR116" s="21"/>
      <c r="HS116" s="21"/>
      <c r="HT116" s="21"/>
      <c r="HU116" s="168">
        <v>709674</v>
      </c>
      <c r="HV116" s="168">
        <v>273520</v>
      </c>
      <c r="HW116" s="21"/>
      <c r="HX116" s="21"/>
      <c r="HY116" s="168">
        <v>28560</v>
      </c>
      <c r="HZ116" s="168">
        <v>377353</v>
      </c>
      <c r="IA116" s="168">
        <v>71639</v>
      </c>
      <c r="IB116" s="168">
        <v>72121</v>
      </c>
      <c r="IC116" s="21"/>
      <c r="ID116" s="21"/>
      <c r="IE116" s="168">
        <v>1190889</v>
      </c>
      <c r="IF116" s="168">
        <v>1110237</v>
      </c>
      <c r="IG116" s="168">
        <v>213349</v>
      </c>
      <c r="IH116" s="168">
        <v>207699</v>
      </c>
      <c r="II116" s="21"/>
      <c r="IJ116" s="21"/>
      <c r="IK116" s="168">
        <v>3915608</v>
      </c>
      <c r="IL116" s="21"/>
      <c r="IM116" s="21"/>
      <c r="IN116" s="21"/>
      <c r="IO116" s="21"/>
      <c r="IP116" s="21"/>
      <c r="IQ116" s="21"/>
      <c r="IR116" s="168">
        <v>503</v>
      </c>
      <c r="IS116" s="21"/>
      <c r="IT116" s="21"/>
      <c r="IU116" s="168">
        <v>2647000</v>
      </c>
      <c r="IV116" s="168">
        <v>3112387</v>
      </c>
      <c r="IW116" s="168">
        <v>2593748</v>
      </c>
      <c r="IX116" s="168">
        <v>3315590</v>
      </c>
      <c r="IY116" s="168">
        <v>53252</v>
      </c>
      <c r="IZ116" s="168">
        <v>-203204</v>
      </c>
      <c r="JA116" s="168">
        <v>310032</v>
      </c>
      <c r="JB116" s="168">
        <v>379536</v>
      </c>
      <c r="JC116" s="168">
        <v>250000</v>
      </c>
      <c r="JD116" s="21"/>
      <c r="JE116" s="168">
        <v>5314865</v>
      </c>
      <c r="JF116" s="168">
        <v>4829535</v>
      </c>
      <c r="JG116" s="168">
        <v>28299</v>
      </c>
      <c r="JH116" s="168">
        <v>7000</v>
      </c>
      <c r="JI116" s="168">
        <v>63637487</v>
      </c>
      <c r="JJ116" s="168">
        <v>56012721</v>
      </c>
      <c r="JK116" s="168">
        <v>213349</v>
      </c>
      <c r="JL116" s="168">
        <v>207699</v>
      </c>
      <c r="JM116" s="168">
        <v>4446292</v>
      </c>
      <c r="JN116" s="168">
        <v>584698</v>
      </c>
      <c r="JO116" s="168">
        <v>266601</v>
      </c>
      <c r="JP116" s="168">
        <v>4496</v>
      </c>
      <c r="JQ116" s="21"/>
      <c r="JR116" s="21"/>
      <c r="JS116" s="168">
        <v>736694</v>
      </c>
      <c r="JT116" s="168">
        <v>10481</v>
      </c>
      <c r="JU116" s="21"/>
      <c r="JV116" s="168">
        <v>61784942</v>
      </c>
      <c r="JW116" s="168">
        <v>61784942</v>
      </c>
      <c r="JX116" s="168">
        <v>58743614</v>
      </c>
      <c r="JY116" s="21"/>
      <c r="JZ116" s="21"/>
      <c r="KA116" s="21"/>
      <c r="KB116" s="21"/>
      <c r="KC116" s="21"/>
      <c r="KD116" s="21"/>
      <c r="KE116" s="21"/>
      <c r="KF116" s="21"/>
      <c r="KG116" s="21"/>
      <c r="KH116" s="168">
        <v>54882773</v>
      </c>
      <c r="KI116" s="168">
        <v>54882773</v>
      </c>
      <c r="KJ116" s="168">
        <v>51819298</v>
      </c>
      <c r="KK116" s="21"/>
      <c r="KL116" s="21"/>
      <c r="KM116" s="21"/>
      <c r="KN116" s="21"/>
      <c r="KO116" s="21"/>
      <c r="KP116" s="21"/>
      <c r="KQ116" s="168">
        <v>11117</v>
      </c>
      <c r="KR116" s="168">
        <v>42606</v>
      </c>
      <c r="KS116" s="21"/>
      <c r="KT116" s="21"/>
      <c r="KU116" s="21"/>
      <c r="KV116" s="21"/>
      <c r="KW116" s="21"/>
      <c r="KX116" s="21"/>
      <c r="KY116" s="21"/>
      <c r="KZ116" s="21"/>
      <c r="LA116" s="168">
        <v>37000</v>
      </c>
      <c r="LB116" s="168">
        <v>37000</v>
      </c>
      <c r="LC116" s="21"/>
      <c r="LD116" s="21"/>
      <c r="LE116" s="168">
        <v>4954</v>
      </c>
      <c r="LF116" s="168">
        <v>5448</v>
      </c>
      <c r="LG116" s="21"/>
      <c r="LH116" s="21"/>
      <c r="LI116" s="168">
        <v>2707707</v>
      </c>
      <c r="LJ116" s="168">
        <v>2255336</v>
      </c>
      <c r="LK116" s="168">
        <v>4931510</v>
      </c>
      <c r="LL116" s="168">
        <v>3737085</v>
      </c>
      <c r="LM116" s="168">
        <v>1846641</v>
      </c>
      <c r="LN116" s="168">
        <v>12537</v>
      </c>
      <c r="LO116" s="21"/>
      <c r="LP116" s="21"/>
      <c r="LQ116" s="21"/>
      <c r="LR116" s="21"/>
      <c r="LS116" s="21"/>
      <c r="LT116" s="21"/>
      <c r="LU116" s="21"/>
      <c r="LV116" s="21"/>
      <c r="LW116" s="21"/>
      <c r="LX116" s="21"/>
      <c r="LY116" s="21"/>
      <c r="LZ116" s="21"/>
      <c r="MA116" s="168">
        <v>14478295</v>
      </c>
      <c r="MB116" s="168">
        <v>8241705</v>
      </c>
      <c r="MC116" s="168">
        <v>127285</v>
      </c>
      <c r="MD116" s="168">
        <v>119106</v>
      </c>
      <c r="ME116" s="21"/>
      <c r="MF116" s="21"/>
      <c r="MG116" s="21"/>
      <c r="MH116" s="21"/>
      <c r="MI116" s="21"/>
      <c r="MJ116" s="21"/>
      <c r="MK116" s="21"/>
      <c r="ML116" s="21"/>
      <c r="MM116" s="21"/>
      <c r="MN116" s="21"/>
      <c r="MO116" s="21"/>
      <c r="MP116" s="21"/>
      <c r="MQ116" s="21"/>
      <c r="MR116" s="21"/>
      <c r="MS116" s="21"/>
      <c r="MT116" s="21"/>
      <c r="MU116" s="21"/>
      <c r="MV116" s="21"/>
      <c r="MW116" s="168">
        <v>10252951</v>
      </c>
      <c r="MX116" s="168">
        <v>9050814</v>
      </c>
      <c r="MY116" s="21"/>
      <c r="MZ116" s="21"/>
      <c r="NA116" s="21"/>
      <c r="NB116" s="21"/>
      <c r="NC116" s="168">
        <v>1576866</v>
      </c>
      <c r="ND116" s="168">
        <v>2070363</v>
      </c>
      <c r="NE116" s="21"/>
      <c r="NF116" s="21"/>
      <c r="NG116" s="168">
        <v>11866817</v>
      </c>
      <c r="NH116" s="168">
        <v>11158177</v>
      </c>
      <c r="NI116" s="21"/>
      <c r="NJ116" s="21"/>
      <c r="NK116" s="168">
        <v>14956</v>
      </c>
      <c r="NL116" s="168">
        <v>14934</v>
      </c>
      <c r="NM116" s="168">
        <v>24112223</v>
      </c>
      <c r="NN116" s="168">
        <v>14410583</v>
      </c>
      <c r="NO116" s="168">
        <v>37679268</v>
      </c>
      <c r="NP116" s="168">
        <v>27455064</v>
      </c>
      <c r="NQ116" s="168" t="s">
        <v>898</v>
      </c>
      <c r="NR116" s="168" t="s">
        <v>769</v>
      </c>
      <c r="NS116" s="168" t="s">
        <v>770</v>
      </c>
      <c r="NT116" s="168" t="s">
        <v>771</v>
      </c>
      <c r="NU116" s="168">
        <v>6401</v>
      </c>
      <c r="NV116" s="168" t="s">
        <v>2104</v>
      </c>
      <c r="NW116" s="168" t="s">
        <v>28</v>
      </c>
      <c r="NX116" s="168" t="s">
        <v>25</v>
      </c>
      <c r="NY116" s="169">
        <v>42825</v>
      </c>
      <c r="NZ116" s="169">
        <v>42460</v>
      </c>
      <c r="OA116" s="169">
        <v>43024</v>
      </c>
      <c r="OB116" s="168" t="s">
        <v>1383</v>
      </c>
      <c r="OC116" s="168">
        <v>12</v>
      </c>
      <c r="OD116" s="168" t="s">
        <v>2105</v>
      </c>
      <c r="OE116" s="168" t="s">
        <v>2440</v>
      </c>
      <c r="OF116" s="168" t="s">
        <v>2507</v>
      </c>
      <c r="OG116" s="168" t="s">
        <v>1996</v>
      </c>
      <c r="OH116" s="168" t="s">
        <v>897</v>
      </c>
      <c r="OI116" s="168" t="s">
        <v>766</v>
      </c>
      <c r="OJ116" s="168" t="s">
        <v>3240</v>
      </c>
      <c r="OK116" s="168" t="s">
        <v>767</v>
      </c>
    </row>
    <row r="117" spans="1:401" x14ac:dyDescent="0.2">
      <c r="A117" s="170" t="str">
        <f>Liste[[#This Row],[Siren]]</f>
        <v>394491252</v>
      </c>
      <c r="B117" s="198" t="str">
        <f>Liste[[#This Row],[Dénomination]]&amp;" - comptes "&amp;YEAR(Liste[[#This Row],[Date de cloture de l''exercice]])</f>
        <v>PACTE NOVATION - comptes 2017</v>
      </c>
      <c r="C117" s="21"/>
      <c r="D117" s="21"/>
      <c r="E117" s="21"/>
      <c r="F117" s="168">
        <v>1383131</v>
      </c>
      <c r="G117" s="168">
        <v>1632954</v>
      </c>
      <c r="H117" s="168">
        <v>1383131</v>
      </c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168">
        <v>1296890</v>
      </c>
      <c r="BE117" s="168">
        <v>975784</v>
      </c>
      <c r="BF117" s="168">
        <v>1296890</v>
      </c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168">
        <v>687273</v>
      </c>
      <c r="BY117" s="168">
        <v>425347</v>
      </c>
      <c r="BZ117" s="168">
        <v>687273</v>
      </c>
      <c r="CA117" s="21"/>
      <c r="CB117" s="21"/>
      <c r="CC117" s="21"/>
      <c r="CD117" s="168">
        <v>528841</v>
      </c>
      <c r="CE117" s="168">
        <v>1251</v>
      </c>
      <c r="CF117" s="168">
        <v>1565</v>
      </c>
      <c r="CG117" s="168">
        <v>530092</v>
      </c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168">
        <v>1210685</v>
      </c>
      <c r="EL117" s="168">
        <v>677274</v>
      </c>
      <c r="EM117" s="168">
        <v>787119</v>
      </c>
      <c r="EN117" s="168">
        <v>1887959</v>
      </c>
      <c r="EO117" s="21"/>
      <c r="EP117" s="168">
        <v>3367294</v>
      </c>
      <c r="EQ117" s="168">
        <v>3034085</v>
      </c>
      <c r="ER117" s="168">
        <v>3367294</v>
      </c>
      <c r="ES117" s="168">
        <v>1210685</v>
      </c>
      <c r="ET117" s="168">
        <v>4044568</v>
      </c>
      <c r="EU117" s="168">
        <v>3821204</v>
      </c>
      <c r="EV117" s="168">
        <v>5255253</v>
      </c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  <c r="FQ117" s="168">
        <v>-314</v>
      </c>
      <c r="FR117" s="168">
        <v>-314</v>
      </c>
      <c r="FS117" s="21"/>
      <c r="FT117" s="21"/>
      <c r="FU117" s="21"/>
      <c r="FV117" s="21"/>
      <c r="FW117" s="168">
        <v>24959</v>
      </c>
      <c r="FX117" s="168">
        <v>139107</v>
      </c>
      <c r="FY117" s="168">
        <v>-29341</v>
      </c>
      <c r="FZ117" s="168">
        <v>-20572</v>
      </c>
      <c r="GA117" s="21"/>
      <c r="GB117" s="21"/>
      <c r="GC117" s="21"/>
      <c r="GD117" s="21"/>
      <c r="GE117" s="21"/>
      <c r="GF117" s="21"/>
      <c r="GG117" s="21"/>
      <c r="GH117" s="21"/>
      <c r="GI117" s="21"/>
      <c r="GJ117" s="21"/>
      <c r="GK117" s="21"/>
      <c r="GL117" s="21"/>
      <c r="GM117" s="168">
        <v>184040</v>
      </c>
      <c r="GN117" s="168">
        <v>51750</v>
      </c>
      <c r="GO117" s="168">
        <v>184354</v>
      </c>
      <c r="GP117" s="168">
        <v>52064</v>
      </c>
      <c r="GQ117" s="21"/>
      <c r="GR117" s="21"/>
      <c r="GS117" s="168">
        <v>154689</v>
      </c>
      <c r="GT117" s="168">
        <v>31178</v>
      </c>
      <c r="GU117" s="21"/>
      <c r="GV117" s="21"/>
      <c r="GW117" s="21"/>
      <c r="GX117" s="21"/>
      <c r="GY117" s="21"/>
      <c r="GZ117" s="21"/>
      <c r="HA117" s="21"/>
      <c r="HB117" s="21"/>
      <c r="HC117" s="21"/>
      <c r="HD117" s="21"/>
      <c r="HE117" s="168">
        <v>-6</v>
      </c>
      <c r="HF117" s="168">
        <v>-65</v>
      </c>
      <c r="HG117" s="21"/>
      <c r="HH117" s="21"/>
      <c r="HI117" s="168">
        <v>273972</v>
      </c>
      <c r="HJ117" s="168">
        <v>377302</v>
      </c>
      <c r="HK117" s="21"/>
      <c r="HL117" s="21"/>
      <c r="HM117" s="21"/>
      <c r="HN117" s="21"/>
      <c r="HO117" s="21"/>
      <c r="HP117" s="21"/>
      <c r="HQ117" s="21"/>
      <c r="HR117" s="21"/>
      <c r="HS117" s="21"/>
      <c r="HT117" s="21"/>
      <c r="HU117" s="21"/>
      <c r="HV117" s="21"/>
      <c r="HW117" s="21"/>
      <c r="HX117" s="21"/>
      <c r="HY117" s="21"/>
      <c r="HZ117" s="21"/>
      <c r="IA117" s="21"/>
      <c r="IB117" s="21"/>
      <c r="IC117" s="21"/>
      <c r="ID117" s="21"/>
      <c r="IE117" s="168">
        <v>245650</v>
      </c>
      <c r="IF117" s="168">
        <v>-234048</v>
      </c>
      <c r="IG117" s="21"/>
      <c r="IH117" s="21"/>
      <c r="II117" s="21"/>
      <c r="IJ117" s="21"/>
      <c r="IK117" s="21"/>
      <c r="IL117" s="21"/>
      <c r="IM117" s="21"/>
      <c r="IN117" s="21"/>
      <c r="IO117" s="21"/>
      <c r="IP117" s="21"/>
      <c r="IQ117" s="21"/>
      <c r="IR117" s="21"/>
      <c r="IS117" s="21"/>
      <c r="IT117" s="21"/>
      <c r="IU117" s="168">
        <v>166705</v>
      </c>
      <c r="IV117" s="168">
        <v>-69316</v>
      </c>
      <c r="IW117" s="168">
        <v>197552</v>
      </c>
      <c r="IX117" s="168">
        <v>-32688</v>
      </c>
      <c r="IY117" s="21"/>
      <c r="IZ117" s="21"/>
      <c r="JA117" s="21"/>
      <c r="JB117" s="21"/>
      <c r="JC117" s="21"/>
      <c r="JD117" s="21"/>
      <c r="JE117" s="168">
        <v>7580334</v>
      </c>
      <c r="JF117" s="168">
        <v>-7481143</v>
      </c>
      <c r="JG117" s="21"/>
      <c r="JH117" s="21"/>
      <c r="JI117" s="21"/>
      <c r="JJ117" s="21"/>
      <c r="JK117" s="21"/>
      <c r="JL117" s="21"/>
      <c r="JM117" s="21"/>
      <c r="JN117" s="21"/>
      <c r="JO117" s="21"/>
      <c r="JP117" s="21"/>
      <c r="JQ117" s="21"/>
      <c r="JR117" s="21"/>
      <c r="JS117" s="21"/>
      <c r="JT117" s="21"/>
      <c r="JU117" s="21"/>
      <c r="JV117" s="21"/>
      <c r="JW117" s="168">
        <v>9309242</v>
      </c>
      <c r="JX117" s="168">
        <v>9188663</v>
      </c>
      <c r="JY117" s="21"/>
      <c r="JZ117" s="21"/>
      <c r="KA117" s="21"/>
      <c r="KB117" s="21"/>
      <c r="KC117" s="21"/>
      <c r="KD117" s="21"/>
      <c r="KE117" s="21"/>
      <c r="KF117" s="21"/>
      <c r="KG117" s="21"/>
      <c r="KH117" s="21"/>
      <c r="KI117" s="21"/>
      <c r="KJ117" s="21"/>
      <c r="KK117" s="21"/>
      <c r="KL117" s="21"/>
      <c r="KM117" s="21"/>
      <c r="KN117" s="21"/>
      <c r="KO117" s="21"/>
      <c r="KP117" s="21"/>
      <c r="KQ117" s="168">
        <v>1909694</v>
      </c>
      <c r="KR117" s="168">
        <v>2090606</v>
      </c>
      <c r="KS117" s="21"/>
      <c r="KT117" s="21"/>
      <c r="KU117" s="21"/>
      <c r="KV117" s="21"/>
      <c r="KW117" s="21"/>
      <c r="KX117" s="21"/>
      <c r="KY117" s="21"/>
      <c r="KZ117" s="21"/>
      <c r="LA117" s="168">
        <v>512000</v>
      </c>
      <c r="LB117" s="168">
        <v>512000</v>
      </c>
      <c r="LC117" s="21"/>
      <c r="LD117" s="21"/>
      <c r="LE117" s="21"/>
      <c r="LF117" s="21"/>
      <c r="LG117" s="21"/>
      <c r="LH117" s="21"/>
      <c r="LI117" s="21"/>
      <c r="LJ117" s="21"/>
      <c r="LK117" s="168">
        <v>353139</v>
      </c>
      <c r="LL117" s="168">
        <v>217961</v>
      </c>
      <c r="LM117" s="21"/>
      <c r="LN117" s="21"/>
      <c r="LO117" s="21"/>
      <c r="LP117" s="21"/>
      <c r="LQ117" s="21"/>
      <c r="LR117" s="21"/>
      <c r="LS117" s="21"/>
      <c r="LT117" s="21"/>
      <c r="LU117" s="21"/>
      <c r="LV117" s="21"/>
      <c r="LW117" s="21"/>
      <c r="LX117" s="21"/>
      <c r="LY117" s="21"/>
      <c r="LZ117" s="21"/>
      <c r="MA117" s="21"/>
      <c r="MB117" s="21"/>
      <c r="MC117" s="168">
        <v>1631</v>
      </c>
      <c r="MD117" s="168">
        <v>3863</v>
      </c>
      <c r="ME117" s="21"/>
      <c r="MF117" s="21"/>
      <c r="MG117" s="21"/>
      <c r="MH117" s="21"/>
      <c r="MI117" s="21"/>
      <c r="MJ117" s="21"/>
      <c r="MK117" s="21"/>
      <c r="ML117" s="21"/>
      <c r="MM117" s="21"/>
      <c r="MN117" s="21"/>
      <c r="MO117" s="21"/>
      <c r="MP117" s="21"/>
      <c r="MQ117" s="21"/>
      <c r="MR117" s="21"/>
      <c r="MS117" s="21"/>
      <c r="MT117" s="21"/>
      <c r="MU117" s="21"/>
      <c r="MV117" s="21"/>
      <c r="MW117" s="21"/>
      <c r="MX117" s="21"/>
      <c r="MY117" s="21"/>
      <c r="MZ117" s="21"/>
      <c r="NA117" s="21"/>
      <c r="NB117" s="21"/>
      <c r="NC117" s="168">
        <v>154698</v>
      </c>
      <c r="ND117" s="168">
        <v>31178</v>
      </c>
      <c r="NE117" s="21"/>
      <c r="NF117" s="21"/>
      <c r="NG117" s="168">
        <v>1140718</v>
      </c>
      <c r="NH117" s="168">
        <v>986020</v>
      </c>
      <c r="NI117" s="21"/>
      <c r="NJ117" s="21"/>
      <c r="NK117" s="21"/>
      <c r="NL117" s="21"/>
      <c r="NM117" s="168">
        <v>2264464</v>
      </c>
      <c r="NN117" s="168">
        <v>2312430</v>
      </c>
      <c r="NO117" s="168">
        <v>4044568</v>
      </c>
      <c r="NP117" s="168">
        <v>3821204</v>
      </c>
      <c r="NQ117" s="168" t="s">
        <v>1384</v>
      </c>
      <c r="NR117" s="168" t="s">
        <v>872</v>
      </c>
      <c r="NS117" s="168" t="s">
        <v>770</v>
      </c>
      <c r="NT117" s="168" t="s">
        <v>771</v>
      </c>
      <c r="NU117" s="168">
        <v>9201</v>
      </c>
      <c r="NV117" s="168" t="s">
        <v>2104</v>
      </c>
      <c r="NW117" s="168" t="s">
        <v>28</v>
      </c>
      <c r="NX117" s="168" t="s">
        <v>25</v>
      </c>
      <c r="NY117" s="169">
        <v>42825</v>
      </c>
      <c r="NZ117" s="169">
        <v>42460</v>
      </c>
      <c r="OA117" s="169">
        <v>43010</v>
      </c>
      <c r="OB117" s="168" t="s">
        <v>1385</v>
      </c>
      <c r="OC117" s="168">
        <v>12</v>
      </c>
      <c r="OD117" s="168" t="s">
        <v>2105</v>
      </c>
      <c r="OE117" s="168" t="s">
        <v>2508</v>
      </c>
      <c r="OF117" s="168" t="s">
        <v>2509</v>
      </c>
      <c r="OG117" s="168" t="s">
        <v>1997</v>
      </c>
      <c r="OH117" s="168" t="s">
        <v>777</v>
      </c>
      <c r="OI117" s="168" t="s">
        <v>766</v>
      </c>
      <c r="OJ117" s="168" t="s">
        <v>3240</v>
      </c>
      <c r="OK117" s="168" t="s">
        <v>871</v>
      </c>
    </row>
    <row r="118" spans="1:401" x14ac:dyDescent="0.2">
      <c r="A118" s="170" t="str">
        <f>Liste[[#This Row],[Siren]]</f>
        <v>306140039</v>
      </c>
      <c r="B118" s="198" t="str">
        <f>Liste[[#This Row],[Dénomination]]&amp;" - comptes "&amp;YEAR(Liste[[#This Row],[Date de cloture de l''exercice]])</f>
        <v>CAPELLI - comptes 2017</v>
      </c>
      <c r="C118" s="21"/>
      <c r="D118" s="21"/>
      <c r="E118" s="21"/>
      <c r="F118" s="21"/>
      <c r="G118" s="21"/>
      <c r="H118" s="21"/>
      <c r="I118" s="168">
        <v>1173000</v>
      </c>
      <c r="J118" s="168">
        <v>684000</v>
      </c>
      <c r="K118" s="168">
        <v>894000</v>
      </c>
      <c r="L118" s="168">
        <v>1857000</v>
      </c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168">
        <v>1518000</v>
      </c>
      <c r="BA118" s="168">
        <v>812000</v>
      </c>
      <c r="BB118" s="168">
        <v>1518000</v>
      </c>
      <c r="BC118" s="168">
        <v>73000</v>
      </c>
      <c r="BD118" s="168">
        <v>65692000</v>
      </c>
      <c r="BE118" s="168">
        <v>49636000</v>
      </c>
      <c r="BF118" s="168">
        <v>65765000</v>
      </c>
      <c r="BG118" s="21"/>
      <c r="BH118" s="21"/>
      <c r="BI118" s="21"/>
      <c r="BJ118" s="21"/>
      <c r="BK118" s="168">
        <v>661000</v>
      </c>
      <c r="BL118" s="168">
        <v>2811000</v>
      </c>
      <c r="BM118" s="168">
        <v>2920000</v>
      </c>
      <c r="BN118" s="168">
        <v>3472000</v>
      </c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168">
        <v>232000</v>
      </c>
      <c r="CF118" s="168">
        <v>232000</v>
      </c>
      <c r="CG118" s="168">
        <v>232000</v>
      </c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168">
        <v>48000</v>
      </c>
      <c r="DG118" s="168">
        <v>4000</v>
      </c>
      <c r="DH118" s="168">
        <v>9000</v>
      </c>
      <c r="DI118" s="168">
        <v>52000</v>
      </c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168">
        <v>3363000</v>
      </c>
      <c r="EL118" s="168">
        <v>6839000</v>
      </c>
      <c r="EM118" s="168">
        <v>6637000</v>
      </c>
      <c r="EN118" s="168">
        <v>10202000</v>
      </c>
      <c r="EO118" s="168">
        <v>1236000</v>
      </c>
      <c r="EP118" s="168">
        <v>220227000</v>
      </c>
      <c r="EQ118" s="168">
        <v>170940000</v>
      </c>
      <c r="ER118" s="168">
        <v>221463000</v>
      </c>
      <c r="ES118" s="168">
        <v>4599000</v>
      </c>
      <c r="ET118" s="168">
        <v>227066000</v>
      </c>
      <c r="EU118" s="168">
        <v>177577000</v>
      </c>
      <c r="EV118" s="168">
        <v>231665000</v>
      </c>
      <c r="EW118" s="21"/>
      <c r="EX118" s="168">
        <v>20000</v>
      </c>
      <c r="EY118" s="168">
        <v>20000</v>
      </c>
      <c r="EZ118" s="168">
        <v>20000</v>
      </c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  <c r="FQ118" s="21"/>
      <c r="FR118" s="21"/>
      <c r="FS118" s="21"/>
      <c r="FT118" s="21"/>
      <c r="FU118" s="168">
        <v>-223000</v>
      </c>
      <c r="FV118" s="168">
        <v>365000</v>
      </c>
      <c r="FW118" s="168">
        <v>-2592000</v>
      </c>
      <c r="FX118" s="168">
        <v>-2057000</v>
      </c>
      <c r="FY118" s="168">
        <v>-692</v>
      </c>
      <c r="FZ118" s="168">
        <v>-528</v>
      </c>
      <c r="GA118" s="21"/>
      <c r="GB118" s="21"/>
      <c r="GC118" s="21"/>
      <c r="GD118" s="21"/>
      <c r="GE118" s="21"/>
      <c r="GF118" s="21"/>
      <c r="GG118" s="21"/>
      <c r="GH118" s="21"/>
      <c r="GI118" s="21"/>
      <c r="GJ118" s="21"/>
      <c r="GK118" s="21"/>
      <c r="GL118" s="21"/>
      <c r="GM118" s="21"/>
      <c r="GN118" s="21"/>
      <c r="GO118" s="21"/>
      <c r="GP118" s="21"/>
      <c r="GQ118" s="21"/>
      <c r="GR118" s="21"/>
      <c r="GS118" s="168">
        <v>3970</v>
      </c>
      <c r="GT118" s="168">
        <v>2776</v>
      </c>
      <c r="GU118" s="21"/>
      <c r="GV118" s="21"/>
      <c r="GW118" s="21"/>
      <c r="GX118" s="21"/>
      <c r="GY118" s="21"/>
      <c r="GZ118" s="21"/>
      <c r="HA118" s="21"/>
      <c r="HB118" s="21"/>
      <c r="HC118" s="168">
        <v>-6784000</v>
      </c>
      <c r="HD118" s="168">
        <v>-5032000</v>
      </c>
      <c r="HE118" s="168">
        <v>-109000</v>
      </c>
      <c r="HF118" s="168">
        <v>-17000</v>
      </c>
      <c r="HG118" s="21"/>
      <c r="HH118" s="21"/>
      <c r="HI118" s="21"/>
      <c r="HJ118" s="21"/>
      <c r="HK118" s="21"/>
      <c r="HL118" s="21"/>
      <c r="HM118" s="21"/>
      <c r="HN118" s="21"/>
      <c r="HO118" s="21"/>
      <c r="HP118" s="21"/>
      <c r="HQ118" s="21"/>
      <c r="HR118" s="21"/>
      <c r="HS118" s="21"/>
      <c r="HT118" s="21"/>
      <c r="HU118" s="168">
        <v>-381000</v>
      </c>
      <c r="HV118" s="168">
        <v>-383000</v>
      </c>
      <c r="HW118" s="168">
        <v>-296000</v>
      </c>
      <c r="HX118" s="168">
        <v>-366000</v>
      </c>
      <c r="HY118" s="21"/>
      <c r="HZ118" s="21"/>
      <c r="IA118" s="21"/>
      <c r="IB118" s="21"/>
      <c r="IC118" s="21"/>
      <c r="ID118" s="21"/>
      <c r="IE118" s="168">
        <v>-585000</v>
      </c>
      <c r="IF118" s="168">
        <v>-581000</v>
      </c>
      <c r="IG118" s="21"/>
      <c r="IH118" s="21"/>
      <c r="II118" s="21"/>
      <c r="IJ118" s="21"/>
      <c r="IK118" s="21"/>
      <c r="IL118" s="21"/>
      <c r="IM118" s="21"/>
      <c r="IN118" s="21"/>
      <c r="IO118" s="21"/>
      <c r="IP118" s="21"/>
      <c r="IQ118" s="21"/>
      <c r="IR118" s="21"/>
      <c r="IS118" s="21"/>
      <c r="IT118" s="21"/>
      <c r="IU118" s="168">
        <v>7522000</v>
      </c>
      <c r="IV118" s="168">
        <v>4997000</v>
      </c>
      <c r="IW118" s="21"/>
      <c r="IX118" s="21"/>
      <c r="IY118" s="168">
        <v>-2862000</v>
      </c>
      <c r="IZ118" s="168">
        <v>-3029000</v>
      </c>
      <c r="JA118" s="21"/>
      <c r="JB118" s="21"/>
      <c r="JC118" s="21"/>
      <c r="JD118" s="21"/>
      <c r="JE118" s="21"/>
      <c r="JF118" s="21"/>
      <c r="JG118" s="21"/>
      <c r="JH118" s="21"/>
      <c r="JI118" s="21"/>
      <c r="JJ118" s="21"/>
      <c r="JK118" s="21"/>
      <c r="JL118" s="21"/>
      <c r="JM118" s="21"/>
      <c r="JN118" s="21"/>
      <c r="JO118" s="21"/>
      <c r="JP118" s="168">
        <v>19000</v>
      </c>
      <c r="JQ118" s="21"/>
      <c r="JR118" s="21"/>
      <c r="JS118" s="21"/>
      <c r="JT118" s="21"/>
      <c r="JU118" s="21"/>
      <c r="JV118" s="21"/>
      <c r="JW118" s="168">
        <v>126310000</v>
      </c>
      <c r="JX118" s="168">
        <v>91185000</v>
      </c>
      <c r="JY118" s="21"/>
      <c r="JZ118" s="21"/>
      <c r="KA118" s="21"/>
      <c r="KB118" s="21"/>
      <c r="KC118" s="21"/>
      <c r="KD118" s="21"/>
      <c r="KE118" s="21"/>
      <c r="KF118" s="21"/>
      <c r="KG118" s="21"/>
      <c r="KH118" s="21"/>
      <c r="KI118" s="21"/>
      <c r="KJ118" s="21"/>
      <c r="KK118" s="21"/>
      <c r="KL118" s="21"/>
      <c r="KM118" s="21"/>
      <c r="KN118" s="21"/>
      <c r="KO118" s="21"/>
      <c r="KP118" s="21"/>
      <c r="KQ118" s="168">
        <v>1764000</v>
      </c>
      <c r="KR118" s="168">
        <v>736000</v>
      </c>
      <c r="KS118" s="21"/>
      <c r="KT118" s="21"/>
      <c r="KU118" s="21"/>
      <c r="KV118" s="21"/>
      <c r="KW118" s="21"/>
      <c r="KX118" s="21"/>
      <c r="KY118" s="21"/>
      <c r="KZ118" s="21"/>
      <c r="LA118" s="168">
        <v>15139000</v>
      </c>
      <c r="LB118" s="168">
        <v>15139000</v>
      </c>
      <c r="LC118" s="21"/>
      <c r="LD118" s="21"/>
      <c r="LE118" s="21"/>
      <c r="LF118" s="21"/>
      <c r="LG118" s="21"/>
      <c r="LH118" s="21"/>
      <c r="LI118" s="168">
        <v>12236000</v>
      </c>
      <c r="LJ118" s="168">
        <v>6677000</v>
      </c>
      <c r="LK118" s="168">
        <v>68631000</v>
      </c>
      <c r="LL118" s="168">
        <v>38648000</v>
      </c>
      <c r="LM118" s="21"/>
      <c r="LN118" s="21"/>
      <c r="LO118" s="21"/>
      <c r="LP118" s="21"/>
      <c r="LQ118" s="21"/>
      <c r="LR118" s="21"/>
      <c r="LS118" s="21"/>
      <c r="LT118" s="21"/>
      <c r="LU118" s="21"/>
      <c r="LV118" s="21"/>
      <c r="LW118" s="21"/>
      <c r="LX118" s="21"/>
      <c r="LY118" s="21"/>
      <c r="LZ118" s="21"/>
      <c r="MA118" s="21"/>
      <c r="MB118" s="21"/>
      <c r="MC118" s="21"/>
      <c r="MD118" s="21"/>
      <c r="ME118" s="21"/>
      <c r="MF118" s="21"/>
      <c r="MG118" s="168">
        <v>4473000</v>
      </c>
      <c r="MH118" s="168">
        <v>3664000</v>
      </c>
      <c r="MI118" s="168">
        <v>638000</v>
      </c>
      <c r="MJ118" s="168">
        <v>638000</v>
      </c>
      <c r="MK118" s="21"/>
      <c r="ML118" s="21"/>
      <c r="MM118" s="168">
        <v>104000</v>
      </c>
      <c r="MN118" s="168">
        <v>28000</v>
      </c>
      <c r="MO118" s="21"/>
      <c r="MP118" s="21"/>
      <c r="MQ118" s="21"/>
      <c r="MR118" s="21"/>
      <c r="MS118" s="21"/>
      <c r="MT118" s="21"/>
      <c r="MU118" s="168">
        <v>1132000</v>
      </c>
      <c r="MV118" s="168">
        <v>1176000</v>
      </c>
      <c r="MW118" s="168">
        <v>1099000</v>
      </c>
      <c r="MX118" s="168">
        <v>1045000</v>
      </c>
      <c r="MY118" s="21"/>
      <c r="MZ118" s="21"/>
      <c r="NA118" s="21"/>
      <c r="NB118" s="21"/>
      <c r="NC118" s="168">
        <v>3970000</v>
      </c>
      <c r="ND118" s="168">
        <v>2776000</v>
      </c>
      <c r="NE118" s="21"/>
      <c r="NF118" s="21"/>
      <c r="NG118" s="168">
        <v>39533000</v>
      </c>
      <c r="NH118" s="168">
        <v>36598000</v>
      </c>
      <c r="NI118" s="21"/>
      <c r="NJ118" s="21"/>
      <c r="NK118" s="168">
        <v>3160000</v>
      </c>
      <c r="NL118" s="168">
        <v>2452000</v>
      </c>
      <c r="NM118" s="168">
        <v>179900000</v>
      </c>
      <c r="NN118" s="168">
        <v>134863000</v>
      </c>
      <c r="NO118" s="168">
        <v>227066000</v>
      </c>
      <c r="NP118" s="168">
        <v>177577000</v>
      </c>
      <c r="NQ118" s="168" t="s">
        <v>1232</v>
      </c>
      <c r="NR118" s="168" t="s">
        <v>1310</v>
      </c>
      <c r="NS118" s="168" t="s">
        <v>770</v>
      </c>
      <c r="NT118" s="168" t="s">
        <v>771</v>
      </c>
      <c r="NU118" s="168">
        <v>6901</v>
      </c>
      <c r="NV118" s="168" t="s">
        <v>2104</v>
      </c>
      <c r="NW118" s="168" t="s">
        <v>28</v>
      </c>
      <c r="NX118" s="168" t="s">
        <v>25</v>
      </c>
      <c r="NY118" s="169">
        <v>42825</v>
      </c>
      <c r="NZ118" s="169">
        <v>42460</v>
      </c>
      <c r="OA118" s="169">
        <v>43039</v>
      </c>
      <c r="OB118" s="168" t="s">
        <v>1375</v>
      </c>
      <c r="OC118" s="168">
        <v>12</v>
      </c>
      <c r="OD118" s="168" t="s">
        <v>2106</v>
      </c>
      <c r="OE118" s="168" t="s">
        <v>1376</v>
      </c>
      <c r="OF118" s="168" t="s">
        <v>2502</v>
      </c>
      <c r="OG118" s="168" t="s">
        <v>1992</v>
      </c>
      <c r="OH118" s="168" t="s">
        <v>819</v>
      </c>
      <c r="OI118" s="168" t="s">
        <v>766</v>
      </c>
      <c r="OJ118" s="168" t="s">
        <v>3240</v>
      </c>
      <c r="OK118" s="168" t="s">
        <v>1309</v>
      </c>
    </row>
    <row r="119" spans="1:401" x14ac:dyDescent="0.2">
      <c r="A119" s="170" t="str">
        <f>Liste[[#This Row],[Siren]]</f>
        <v>493056162</v>
      </c>
      <c r="B119" s="198" t="str">
        <f>Liste[[#This Row],[Dénomination]]&amp;" - comptes "&amp;YEAR(Liste[[#This Row],[Date de cloture de l''exercice]])</f>
        <v>BATLA MINERALS - comptes 2017</v>
      </c>
      <c r="C119" s="21"/>
      <c r="D119" s="21"/>
      <c r="E119" s="21"/>
      <c r="F119" s="168">
        <v>1497000</v>
      </c>
      <c r="G119" s="168">
        <v>1066000</v>
      </c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168">
        <v>24000</v>
      </c>
      <c r="BA119" s="168">
        <v>31000</v>
      </c>
      <c r="BB119" s="21"/>
      <c r="BC119" s="21"/>
      <c r="BD119" s="168">
        <v>512000</v>
      </c>
      <c r="BE119" s="168">
        <v>961000</v>
      </c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168">
        <v>4873000</v>
      </c>
      <c r="BY119" s="168">
        <v>3448000</v>
      </c>
      <c r="BZ119" s="21"/>
      <c r="CA119" s="21"/>
      <c r="CB119" s="21"/>
      <c r="CC119" s="21"/>
      <c r="CD119" s="21"/>
      <c r="CE119" s="21"/>
      <c r="CF119" s="168">
        <v>5059000</v>
      </c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168">
        <v>7153000</v>
      </c>
      <c r="EM119" s="168">
        <v>11476000</v>
      </c>
      <c r="EN119" s="21"/>
      <c r="EO119" s="21"/>
      <c r="EP119" s="168">
        <v>10543000</v>
      </c>
      <c r="EQ119" s="168">
        <v>9394000</v>
      </c>
      <c r="ER119" s="21"/>
      <c r="ES119" s="21"/>
      <c r="ET119" s="168">
        <v>17696000</v>
      </c>
      <c r="EU119" s="168">
        <v>20870000</v>
      </c>
      <c r="EV119" s="168">
        <v>17696000</v>
      </c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168">
        <v>-2241000</v>
      </c>
      <c r="FJ119" s="168">
        <v>-119000</v>
      </c>
      <c r="FK119" s="21"/>
      <c r="FL119" s="21"/>
      <c r="FM119" s="21"/>
      <c r="FN119" s="21"/>
      <c r="FO119" s="21"/>
      <c r="FP119" s="21"/>
      <c r="FQ119" s="21"/>
      <c r="FR119" s="21"/>
      <c r="FS119" s="21"/>
      <c r="FT119" s="21"/>
      <c r="FU119" s="21"/>
      <c r="FV119" s="21"/>
      <c r="FW119" s="21"/>
      <c r="FX119" s="21"/>
      <c r="FY119" s="168">
        <v>1721000</v>
      </c>
      <c r="FZ119" s="168">
        <v>5914000</v>
      </c>
      <c r="GA119" s="21"/>
      <c r="GB119" s="21"/>
      <c r="GC119" s="21"/>
      <c r="GD119" s="21"/>
      <c r="GE119" s="21"/>
      <c r="GF119" s="21"/>
      <c r="GG119" s="21"/>
      <c r="GH119" s="21"/>
      <c r="GI119" s="21"/>
      <c r="GJ119" s="21"/>
      <c r="GK119" s="21"/>
      <c r="GL119" s="21"/>
      <c r="GM119" s="21"/>
      <c r="GN119" s="21"/>
      <c r="GO119" s="168">
        <v>1721000</v>
      </c>
      <c r="GP119" s="168">
        <v>5914000</v>
      </c>
      <c r="GQ119" s="21"/>
      <c r="GR119" s="168">
        <v>52000</v>
      </c>
      <c r="GS119" s="21"/>
      <c r="GT119" s="21"/>
      <c r="GU119" s="21"/>
      <c r="GV119" s="21"/>
      <c r="GW119" s="21"/>
      <c r="GX119" s="21"/>
      <c r="GY119" s="21"/>
      <c r="GZ119" s="21"/>
      <c r="HA119" s="21"/>
      <c r="HB119" s="21"/>
      <c r="HC119" s="168">
        <v>6660000</v>
      </c>
      <c r="HD119" s="168">
        <v>8284000</v>
      </c>
      <c r="HE119" s="168">
        <v>47000</v>
      </c>
      <c r="HF119" s="21"/>
      <c r="HG119" s="21"/>
      <c r="HH119" s="21"/>
      <c r="HI119" s="168">
        <v>267000</v>
      </c>
      <c r="HJ119" s="168">
        <v>1586000</v>
      </c>
      <c r="HK119" s="21"/>
      <c r="HL119" s="21"/>
      <c r="HM119" s="21"/>
      <c r="HN119" s="21"/>
      <c r="HO119" s="168">
        <v>747000</v>
      </c>
      <c r="HP119" s="168">
        <v>598000</v>
      </c>
      <c r="HQ119" s="21"/>
      <c r="HR119" s="21"/>
      <c r="HS119" s="21"/>
      <c r="HT119" s="21"/>
      <c r="HU119" s="168">
        <v>1030000</v>
      </c>
      <c r="HV119" s="168">
        <v>978000</v>
      </c>
      <c r="HW119" s="168">
        <v>866000</v>
      </c>
      <c r="HX119" s="21"/>
      <c r="HY119" s="21"/>
      <c r="HZ119" s="21"/>
      <c r="IA119" s="21"/>
      <c r="IB119" s="21"/>
      <c r="IC119" s="21"/>
      <c r="ID119" s="21"/>
      <c r="IE119" s="168">
        <v>1000</v>
      </c>
      <c r="IF119" s="168">
        <v>1000</v>
      </c>
      <c r="IG119" s="21"/>
      <c r="IH119" s="21"/>
      <c r="II119" s="21"/>
      <c r="IJ119" s="21"/>
      <c r="IK119" s="21"/>
      <c r="IL119" s="21"/>
      <c r="IM119" s="21"/>
      <c r="IN119" s="21"/>
      <c r="IO119" s="21"/>
      <c r="IP119" s="21"/>
      <c r="IQ119" s="21"/>
      <c r="IR119" s="21"/>
      <c r="IS119" s="21"/>
      <c r="IT119" s="21"/>
      <c r="IU119" s="168">
        <v>5781000</v>
      </c>
      <c r="IV119" s="168">
        <v>11110000</v>
      </c>
      <c r="IW119" s="168">
        <v>6392000</v>
      </c>
      <c r="IX119" s="168">
        <v>12338000</v>
      </c>
      <c r="IY119" s="168">
        <v>-611000</v>
      </c>
      <c r="IZ119" s="168">
        <v>-1228000</v>
      </c>
      <c r="JA119" s="21"/>
      <c r="JB119" s="21"/>
      <c r="JC119" s="21"/>
      <c r="JD119" s="21"/>
      <c r="JE119" s="168">
        <v>3679000</v>
      </c>
      <c r="JF119" s="168">
        <v>2974000</v>
      </c>
      <c r="JG119" s="21"/>
      <c r="JH119" s="21"/>
      <c r="JI119" s="168">
        <v>13030000</v>
      </c>
      <c r="JJ119" s="168">
        <v>12835000</v>
      </c>
      <c r="JK119" s="168">
        <v>762000</v>
      </c>
      <c r="JL119" s="168">
        <v>1468000</v>
      </c>
      <c r="JM119" s="168">
        <v>19422000</v>
      </c>
      <c r="JN119" s="168">
        <v>25173000</v>
      </c>
      <c r="JO119" s="168">
        <v>151000</v>
      </c>
      <c r="JP119" s="168">
        <v>240000</v>
      </c>
      <c r="JQ119" s="21"/>
      <c r="JR119" s="21"/>
      <c r="JS119" s="21"/>
      <c r="JT119" s="21"/>
      <c r="JU119" s="21"/>
      <c r="JV119" s="21"/>
      <c r="JW119" s="168">
        <v>19155000</v>
      </c>
      <c r="JX119" s="168">
        <v>23587000</v>
      </c>
      <c r="JY119" s="21"/>
      <c r="JZ119" s="21"/>
      <c r="KA119" s="21"/>
      <c r="KB119" s="21"/>
      <c r="KC119" s="21"/>
      <c r="KD119" s="21"/>
      <c r="KE119" s="21"/>
      <c r="KF119" s="21"/>
      <c r="KG119" s="21"/>
      <c r="KH119" s="21"/>
      <c r="KI119" s="21"/>
      <c r="KJ119" s="21"/>
      <c r="KK119" s="21"/>
      <c r="KL119" s="21"/>
      <c r="KM119" s="21"/>
      <c r="KN119" s="21"/>
      <c r="KO119" s="21"/>
      <c r="KP119" s="21"/>
      <c r="KQ119" s="168">
        <v>159000</v>
      </c>
      <c r="KR119" s="168">
        <v>715000</v>
      </c>
      <c r="KS119" s="21"/>
      <c r="KT119" s="21"/>
      <c r="KU119" s="21"/>
      <c r="KV119" s="21"/>
      <c r="KW119" s="21"/>
      <c r="KX119" s="21"/>
      <c r="KY119" s="21"/>
      <c r="KZ119" s="21"/>
      <c r="LA119" s="168">
        <v>5350000</v>
      </c>
      <c r="LB119" s="168">
        <v>5350000</v>
      </c>
      <c r="LC119" s="21"/>
      <c r="LD119" s="21"/>
      <c r="LE119" s="21"/>
      <c r="LF119" s="21"/>
      <c r="LG119" s="21"/>
      <c r="LH119" s="21"/>
      <c r="LI119" s="168">
        <v>1422000</v>
      </c>
      <c r="LJ119" s="168">
        <v>1025000</v>
      </c>
      <c r="LK119" s="168">
        <v>581000</v>
      </c>
      <c r="LL119" s="168">
        <v>1192000</v>
      </c>
      <c r="LM119" s="21"/>
      <c r="LN119" s="21"/>
      <c r="LO119" s="21"/>
      <c r="LP119" s="21"/>
      <c r="LQ119" s="21"/>
      <c r="LR119" s="21"/>
      <c r="LS119" s="21"/>
      <c r="LT119" s="21"/>
      <c r="LU119" s="168">
        <v>-2052000</v>
      </c>
      <c r="LV119" s="168">
        <v>-3591000</v>
      </c>
      <c r="LW119" s="21"/>
      <c r="LX119" s="21"/>
      <c r="LY119" s="21"/>
      <c r="LZ119" s="21"/>
      <c r="MA119" s="21"/>
      <c r="MB119" s="21"/>
      <c r="MC119" s="168">
        <v>774000</v>
      </c>
      <c r="MD119" s="168">
        <v>6375000</v>
      </c>
      <c r="ME119" s="21"/>
      <c r="MF119" s="21"/>
      <c r="MG119" s="168">
        <v>1293000</v>
      </c>
      <c r="MH119" s="168">
        <v>1636000</v>
      </c>
      <c r="MI119" s="168">
        <v>16796000</v>
      </c>
      <c r="MJ119" s="168">
        <v>16796000</v>
      </c>
      <c r="MK119" s="21"/>
      <c r="ML119" s="21"/>
      <c r="MM119" s="21"/>
      <c r="MN119" s="21"/>
      <c r="MO119" s="21"/>
      <c r="MP119" s="21"/>
      <c r="MQ119" s="21"/>
      <c r="MR119" s="21"/>
      <c r="MS119" s="21"/>
      <c r="MT119" s="21"/>
      <c r="MU119" s="21"/>
      <c r="MV119" s="21"/>
      <c r="MW119" s="168">
        <v>-8893000</v>
      </c>
      <c r="MX119" s="168">
        <v>-14807000</v>
      </c>
      <c r="MY119" s="21"/>
      <c r="MZ119" s="21"/>
      <c r="NA119" s="21"/>
      <c r="NB119" s="21"/>
      <c r="NC119" s="168">
        <v>1721000</v>
      </c>
      <c r="ND119" s="168">
        <v>5914000</v>
      </c>
      <c r="NE119" s="21"/>
      <c r="NF119" s="21"/>
      <c r="NG119" s="168">
        <v>12922000</v>
      </c>
      <c r="NH119" s="168">
        <v>9662000</v>
      </c>
      <c r="NI119" s="21"/>
      <c r="NJ119" s="21"/>
      <c r="NK119" s="21"/>
      <c r="NL119" s="21"/>
      <c r="NM119" s="168">
        <v>4229000</v>
      </c>
      <c r="NN119" s="168">
        <v>10943000</v>
      </c>
      <c r="NO119" s="168">
        <v>17696000</v>
      </c>
      <c r="NP119" s="168">
        <v>20870000</v>
      </c>
      <c r="NQ119" s="168" t="s">
        <v>1377</v>
      </c>
      <c r="NR119" s="168" t="s">
        <v>769</v>
      </c>
      <c r="NS119" s="168" t="s">
        <v>770</v>
      </c>
      <c r="NT119" s="168" t="s">
        <v>771</v>
      </c>
      <c r="NU119" s="168">
        <v>3405</v>
      </c>
      <c r="NV119" s="168" t="s">
        <v>2104</v>
      </c>
      <c r="NW119" s="168" t="s">
        <v>28</v>
      </c>
      <c r="NX119" s="168" t="s">
        <v>25</v>
      </c>
      <c r="NY119" s="169">
        <v>42825</v>
      </c>
      <c r="NZ119" s="169">
        <v>42460</v>
      </c>
      <c r="OA119" s="169">
        <v>43026</v>
      </c>
      <c r="OB119" s="168" t="s">
        <v>1378</v>
      </c>
      <c r="OC119" s="168">
        <v>12</v>
      </c>
      <c r="OD119" s="168" t="s">
        <v>2106</v>
      </c>
      <c r="OE119" s="168" t="s">
        <v>2503</v>
      </c>
      <c r="OF119" s="168" t="s">
        <v>2504</v>
      </c>
      <c r="OG119" s="168" t="s">
        <v>1993</v>
      </c>
      <c r="OH119" s="168" t="s">
        <v>800</v>
      </c>
      <c r="OI119" s="168" t="s">
        <v>766</v>
      </c>
      <c r="OJ119" s="168" t="s">
        <v>3240</v>
      </c>
      <c r="OK119" s="168" t="s">
        <v>767</v>
      </c>
    </row>
    <row r="120" spans="1:401" x14ac:dyDescent="0.2">
      <c r="A120" s="170" t="str">
        <f>Liste[[#This Row],[Siren]]</f>
        <v>451804546</v>
      </c>
      <c r="B120" s="198" t="str">
        <f>Liste[[#This Row],[Dénomination]]&amp;" - comptes "&amp;YEAR(Liste[[#This Row],[Date de cloture de l''exercice]])</f>
        <v>MBO GROUPE - comptes 2017</v>
      </c>
      <c r="C120" s="168">
        <v>214650</v>
      </c>
      <c r="D120" s="21"/>
      <c r="E120" s="21"/>
      <c r="F120" s="168">
        <v>2831130</v>
      </c>
      <c r="G120" s="168">
        <v>2001214</v>
      </c>
      <c r="H120" s="168">
        <v>2831130</v>
      </c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168">
        <v>545074</v>
      </c>
      <c r="BD120" s="168">
        <v>11572230</v>
      </c>
      <c r="BE120" s="168">
        <v>12773186</v>
      </c>
      <c r="BF120" s="168">
        <v>12117304</v>
      </c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168">
        <v>659537</v>
      </c>
      <c r="BY120" s="168">
        <v>584388</v>
      </c>
      <c r="BZ120" s="168">
        <v>659537</v>
      </c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168">
        <v>10861572</v>
      </c>
      <c r="EL120" s="168">
        <v>5606879</v>
      </c>
      <c r="EM120" s="168">
        <v>5224578</v>
      </c>
      <c r="EN120" s="168">
        <v>16468451</v>
      </c>
      <c r="EO120" s="168">
        <v>545074</v>
      </c>
      <c r="EP120" s="168">
        <v>19425944</v>
      </c>
      <c r="EQ120" s="168">
        <v>19679</v>
      </c>
      <c r="ER120" s="168">
        <v>19971018</v>
      </c>
      <c r="ES120" s="168">
        <v>11406646</v>
      </c>
      <c r="ET120" s="168">
        <v>25247035</v>
      </c>
      <c r="EU120" s="168">
        <v>25165560</v>
      </c>
      <c r="EV120" s="168">
        <v>36653681</v>
      </c>
      <c r="EW120" s="21"/>
      <c r="EX120" s="21"/>
      <c r="EY120" s="21"/>
      <c r="EZ120" s="21"/>
      <c r="FA120" s="21"/>
      <c r="FB120" s="21"/>
      <c r="FC120" s="21"/>
      <c r="FD120" s="21"/>
      <c r="FE120" s="21"/>
      <c r="FF120" s="168">
        <v>163000</v>
      </c>
      <c r="FG120" s="168">
        <v>163000</v>
      </c>
      <c r="FH120" s="168">
        <v>163000</v>
      </c>
      <c r="FI120" s="21"/>
      <c r="FJ120" s="21"/>
      <c r="FK120" s="21"/>
      <c r="FL120" s="21"/>
      <c r="FM120" s="21"/>
      <c r="FN120" s="21"/>
      <c r="FO120" s="21"/>
      <c r="FP120" s="21"/>
      <c r="FQ120" s="168">
        <v>24963</v>
      </c>
      <c r="FR120" s="168">
        <v>24963</v>
      </c>
      <c r="FS120" s="21"/>
      <c r="FT120" s="21"/>
      <c r="FU120" s="21"/>
      <c r="FV120" s="21"/>
      <c r="FW120" s="168">
        <v>-56433</v>
      </c>
      <c r="FX120" s="168">
        <v>512150</v>
      </c>
      <c r="FY120" s="168">
        <v>99369</v>
      </c>
      <c r="FZ120" s="168">
        <v>138984</v>
      </c>
      <c r="GA120" s="21"/>
      <c r="GB120" s="21"/>
      <c r="GC120" s="21"/>
      <c r="GD120" s="21"/>
      <c r="GE120" s="21"/>
      <c r="GF120" s="21"/>
      <c r="GG120" s="21"/>
      <c r="GH120" s="21"/>
      <c r="GI120" s="21"/>
      <c r="GJ120" s="21"/>
      <c r="GK120" s="21"/>
      <c r="GL120" s="21"/>
      <c r="GM120" s="168">
        <v>572335</v>
      </c>
      <c r="GN120" s="168">
        <v>1689471</v>
      </c>
      <c r="GO120" s="168">
        <v>597298</v>
      </c>
      <c r="GP120" s="168">
        <v>1714434</v>
      </c>
      <c r="GQ120" s="21"/>
      <c r="GR120" s="21"/>
      <c r="GS120" s="168">
        <v>472966</v>
      </c>
      <c r="GT120" s="168">
        <v>1550487</v>
      </c>
      <c r="GU120" s="21"/>
      <c r="GV120" s="21"/>
      <c r="GW120" s="21"/>
      <c r="GX120" s="21"/>
      <c r="GY120" s="21"/>
      <c r="GZ120" s="21"/>
      <c r="HA120" s="21"/>
      <c r="HB120" s="21"/>
      <c r="HC120" s="21"/>
      <c r="HD120" s="21"/>
      <c r="HE120" s="168">
        <v>12220458</v>
      </c>
      <c r="HF120" s="168">
        <v>11214172</v>
      </c>
      <c r="HG120" s="21"/>
      <c r="HH120" s="21"/>
      <c r="HI120" s="168">
        <v>846803</v>
      </c>
      <c r="HJ120" s="168">
        <v>560395</v>
      </c>
      <c r="HK120" s="21"/>
      <c r="HL120" s="21"/>
      <c r="HM120" s="21"/>
      <c r="HN120" s="21"/>
      <c r="HO120" s="21"/>
      <c r="HP120" s="21"/>
      <c r="HQ120" s="21"/>
      <c r="HR120" s="21"/>
      <c r="HS120" s="21"/>
      <c r="HT120" s="21"/>
      <c r="HU120" s="21"/>
      <c r="HV120" s="21"/>
      <c r="HW120" s="21"/>
      <c r="HX120" s="21"/>
      <c r="HY120" s="21"/>
      <c r="HZ120" s="21"/>
      <c r="IA120" s="21"/>
      <c r="IB120" s="21"/>
      <c r="IC120" s="21"/>
      <c r="ID120" s="21"/>
      <c r="IE120" s="168">
        <v>941396</v>
      </c>
      <c r="IF120" s="168">
        <v>959114</v>
      </c>
      <c r="IG120" s="21"/>
      <c r="IH120" s="21"/>
      <c r="II120" s="21"/>
      <c r="IJ120" s="21"/>
      <c r="IK120" s="21"/>
      <c r="IL120" s="21"/>
      <c r="IM120" s="21"/>
      <c r="IN120" s="21"/>
      <c r="IO120" s="21"/>
      <c r="IP120" s="21"/>
      <c r="IQ120" s="21"/>
      <c r="IR120" s="21"/>
      <c r="IS120" s="21"/>
      <c r="IT120" s="21"/>
      <c r="IU120" s="168">
        <v>595782</v>
      </c>
      <c r="IV120" s="168">
        <v>2184278</v>
      </c>
      <c r="IW120" s="168">
        <v>792928</v>
      </c>
      <c r="IX120" s="168">
        <v>2384280</v>
      </c>
      <c r="IY120" s="168">
        <v>-197146</v>
      </c>
      <c r="IZ120" s="168">
        <v>-200002</v>
      </c>
      <c r="JA120" s="21"/>
      <c r="JB120" s="21"/>
      <c r="JC120" s="21"/>
      <c r="JD120" s="21"/>
      <c r="JE120" s="168">
        <v>18943980</v>
      </c>
      <c r="JF120" s="168">
        <v>18634779</v>
      </c>
      <c r="JG120" s="21"/>
      <c r="JH120" s="21"/>
      <c r="JI120" s="168">
        <v>45088849</v>
      </c>
      <c r="JJ120" s="168">
        <v>44649836</v>
      </c>
      <c r="JK120" s="168">
        <v>207460</v>
      </c>
      <c r="JL120" s="168">
        <v>217395</v>
      </c>
      <c r="JM120" s="168">
        <v>45881777</v>
      </c>
      <c r="JN120" s="168">
        <v>47034116</v>
      </c>
      <c r="JO120" s="168">
        <v>1361</v>
      </c>
      <c r="JP120" s="168">
        <v>3275</v>
      </c>
      <c r="JQ120" s="21"/>
      <c r="JR120" s="21"/>
      <c r="JS120" s="21"/>
      <c r="JT120" s="21"/>
      <c r="JU120" s="21"/>
      <c r="JV120" s="21"/>
      <c r="JW120" s="168">
        <v>45034974</v>
      </c>
      <c r="JX120" s="168">
        <v>46473721</v>
      </c>
      <c r="JY120" s="21"/>
      <c r="JZ120" s="21"/>
      <c r="KA120" s="21"/>
      <c r="KB120" s="21"/>
      <c r="KC120" s="21"/>
      <c r="KD120" s="21"/>
      <c r="KE120" s="21"/>
      <c r="KF120" s="21"/>
      <c r="KG120" s="21"/>
      <c r="KH120" s="21"/>
      <c r="KI120" s="21"/>
      <c r="KJ120" s="21"/>
      <c r="KK120" s="168">
        <v>506819</v>
      </c>
      <c r="KL120" s="168">
        <v>245369</v>
      </c>
      <c r="KM120" s="21"/>
      <c r="KN120" s="21"/>
      <c r="KO120" s="21"/>
      <c r="KP120" s="21"/>
      <c r="KQ120" s="168">
        <v>5749271</v>
      </c>
      <c r="KR120" s="168">
        <v>6706009</v>
      </c>
      <c r="KS120" s="21"/>
      <c r="KT120" s="21"/>
      <c r="KU120" s="21"/>
      <c r="KV120" s="21"/>
      <c r="KW120" s="21"/>
      <c r="KX120" s="21"/>
      <c r="KY120" s="21"/>
      <c r="KZ120" s="21"/>
      <c r="LA120" s="168">
        <v>312890</v>
      </c>
      <c r="LB120" s="168">
        <v>452950</v>
      </c>
      <c r="LC120" s="21"/>
      <c r="LD120" s="21"/>
      <c r="LE120" s="21"/>
      <c r="LF120" s="21"/>
      <c r="LG120" s="21"/>
      <c r="LH120" s="21"/>
      <c r="LI120" s="21"/>
      <c r="LJ120" s="21"/>
      <c r="LK120" s="168">
        <v>5514211</v>
      </c>
      <c r="LL120" s="168">
        <v>5924717</v>
      </c>
      <c r="LM120" s="21"/>
      <c r="LN120" s="21"/>
      <c r="LO120" s="21"/>
      <c r="LP120" s="21"/>
      <c r="LQ120" s="21"/>
      <c r="LR120" s="21"/>
      <c r="LS120" s="21"/>
      <c r="LT120" s="21"/>
      <c r="LU120" s="21"/>
      <c r="LV120" s="21"/>
      <c r="LW120" s="21"/>
      <c r="LX120" s="21"/>
      <c r="LY120" s="21"/>
      <c r="LZ120" s="21"/>
      <c r="MA120" s="21"/>
      <c r="MB120" s="21"/>
      <c r="MC120" s="168">
        <v>7173784</v>
      </c>
      <c r="MD120" s="168">
        <v>4767985</v>
      </c>
      <c r="ME120" s="21"/>
      <c r="MF120" s="21"/>
      <c r="MG120" s="21"/>
      <c r="MH120" s="21"/>
      <c r="MI120" s="21"/>
      <c r="MJ120" s="21"/>
      <c r="MK120" s="21"/>
      <c r="ML120" s="21"/>
      <c r="MM120" s="21"/>
      <c r="MN120" s="21"/>
      <c r="MO120" s="21"/>
      <c r="MP120" s="21"/>
      <c r="MQ120" s="21"/>
      <c r="MR120" s="21"/>
      <c r="MS120" s="21"/>
      <c r="MT120" s="21"/>
      <c r="MU120" s="21"/>
      <c r="MV120" s="21"/>
      <c r="MW120" s="168">
        <v>3735161</v>
      </c>
      <c r="MX120" s="168">
        <v>4009076</v>
      </c>
      <c r="MY120" s="21"/>
      <c r="MZ120" s="21"/>
      <c r="NA120" s="21"/>
      <c r="NB120" s="21"/>
      <c r="NC120" s="168">
        <v>472966</v>
      </c>
      <c r="ND120" s="168">
        <v>1550487</v>
      </c>
      <c r="NE120" s="21"/>
      <c r="NF120" s="21"/>
      <c r="NG120" s="168">
        <v>4521018</v>
      </c>
      <c r="NH120" s="168">
        <v>6012512</v>
      </c>
      <c r="NI120" s="21"/>
      <c r="NJ120" s="21"/>
      <c r="NK120" s="21"/>
      <c r="NL120" s="21"/>
      <c r="NM120" s="168">
        <v>18437267</v>
      </c>
      <c r="NN120" s="168">
        <v>17398711</v>
      </c>
      <c r="NO120" s="168">
        <v>25247035</v>
      </c>
      <c r="NP120" s="168">
        <v>25165560</v>
      </c>
      <c r="NQ120" s="168" t="s">
        <v>1101</v>
      </c>
      <c r="NR120" s="168" t="s">
        <v>769</v>
      </c>
      <c r="NS120" s="168" t="s">
        <v>770</v>
      </c>
      <c r="NT120" s="168" t="s">
        <v>771</v>
      </c>
      <c r="NU120" s="168">
        <v>3802</v>
      </c>
      <c r="NV120" s="168" t="s">
        <v>2104</v>
      </c>
      <c r="NW120" s="168" t="s">
        <v>28</v>
      </c>
      <c r="NX120" s="168" t="s">
        <v>25</v>
      </c>
      <c r="NY120" s="169">
        <v>42825</v>
      </c>
      <c r="NZ120" s="169">
        <v>42460</v>
      </c>
      <c r="OA120" s="169">
        <v>43041</v>
      </c>
      <c r="OB120" s="168" t="s">
        <v>1379</v>
      </c>
      <c r="OC120" s="168">
        <v>12</v>
      </c>
      <c r="OD120" s="168" t="s">
        <v>2106</v>
      </c>
      <c r="OE120" s="168" t="s">
        <v>1380</v>
      </c>
      <c r="OF120" s="168" t="s">
        <v>2505</v>
      </c>
      <c r="OG120" s="168" t="s">
        <v>1994</v>
      </c>
      <c r="OH120" s="168" t="s">
        <v>946</v>
      </c>
      <c r="OI120" s="168" t="s">
        <v>766</v>
      </c>
      <c r="OJ120" s="168" t="s">
        <v>3240</v>
      </c>
      <c r="OK120" s="168" t="s">
        <v>767</v>
      </c>
    </row>
    <row r="121" spans="1:401" x14ac:dyDescent="0.2">
      <c r="A121" s="170" t="str">
        <f>Liste[[#This Row],[Siren]]</f>
        <v>488462730</v>
      </c>
      <c r="B121" s="198" t="str">
        <f>Liste[[#This Row],[Dénomination]]&amp;" - comptes "&amp;YEAR(Liste[[#This Row],[Date de cloture de l''exercice]])</f>
        <v>PRIAMS - comptes 2017</v>
      </c>
      <c r="C121" s="21"/>
      <c r="D121" s="21"/>
      <c r="E121" s="21"/>
      <c r="F121" s="168">
        <v>7933958</v>
      </c>
      <c r="G121" s="168">
        <v>6796878</v>
      </c>
      <c r="H121" s="168">
        <v>7933958</v>
      </c>
      <c r="I121" s="168">
        <v>827938</v>
      </c>
      <c r="J121" s="168">
        <v>573576</v>
      </c>
      <c r="K121" s="168">
        <v>507252</v>
      </c>
      <c r="L121" s="168">
        <v>1401514</v>
      </c>
      <c r="M121" s="21"/>
      <c r="N121" s="168">
        <v>2912609</v>
      </c>
      <c r="O121" s="168">
        <v>561046</v>
      </c>
      <c r="P121" s="168">
        <v>2912609</v>
      </c>
      <c r="Q121" s="21"/>
      <c r="R121" s="21"/>
      <c r="S121" s="21"/>
      <c r="T121" s="21"/>
      <c r="U121" s="21"/>
      <c r="V121" s="21"/>
      <c r="W121" s="21"/>
      <c r="X121" s="21"/>
      <c r="Y121" s="21"/>
      <c r="Z121" s="168">
        <v>75000</v>
      </c>
      <c r="AA121" s="168">
        <v>75000</v>
      </c>
      <c r="AB121" s="168">
        <v>75000</v>
      </c>
      <c r="AC121" s="21"/>
      <c r="AD121" s="21"/>
      <c r="AE121" s="21"/>
      <c r="AF121" s="21"/>
      <c r="AG121" s="21"/>
      <c r="AH121" s="21"/>
      <c r="AI121" s="21"/>
      <c r="AJ121" s="21"/>
      <c r="AK121" s="21"/>
      <c r="AL121" s="168">
        <v>1405967</v>
      </c>
      <c r="AM121" s="168">
        <v>725399</v>
      </c>
      <c r="AN121" s="168">
        <v>1405967</v>
      </c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168">
        <v>151943</v>
      </c>
      <c r="BA121" s="168">
        <v>127643</v>
      </c>
      <c r="BB121" s="168">
        <v>151943</v>
      </c>
      <c r="BC121" s="168">
        <v>5618</v>
      </c>
      <c r="BD121" s="168">
        <v>54879261</v>
      </c>
      <c r="BE121" s="168">
        <v>52905784</v>
      </c>
      <c r="BF121" s="168">
        <v>54884879</v>
      </c>
      <c r="BG121" s="168">
        <v>229424</v>
      </c>
      <c r="BH121" s="168">
        <v>24484</v>
      </c>
      <c r="BI121" s="168">
        <v>54901</v>
      </c>
      <c r="BJ121" s="168">
        <v>253908</v>
      </c>
      <c r="BK121" s="21"/>
      <c r="BL121" s="21"/>
      <c r="BM121" s="168">
        <v>1216007</v>
      </c>
      <c r="BN121" s="21"/>
      <c r="BO121" s="168">
        <v>682390</v>
      </c>
      <c r="BP121" s="168">
        <v>1401056</v>
      </c>
      <c r="BQ121" s="168">
        <v>1086616</v>
      </c>
      <c r="BR121" s="168">
        <v>2083446</v>
      </c>
      <c r="BS121" s="21"/>
      <c r="BT121" s="21"/>
      <c r="BU121" s="21"/>
      <c r="BV121" s="21"/>
      <c r="BW121" s="21"/>
      <c r="BX121" s="168">
        <v>37584089</v>
      </c>
      <c r="BY121" s="168">
        <v>14916855</v>
      </c>
      <c r="BZ121" s="168">
        <v>37584089</v>
      </c>
      <c r="CA121" s="21"/>
      <c r="CB121" s="21"/>
      <c r="CC121" s="21"/>
      <c r="CD121" s="168">
        <v>497160</v>
      </c>
      <c r="CE121" s="168">
        <v>124288</v>
      </c>
      <c r="CF121" s="168">
        <v>205527</v>
      </c>
      <c r="CG121" s="168">
        <v>621448</v>
      </c>
      <c r="CH121" s="168">
        <v>100597</v>
      </c>
      <c r="CI121" s="168">
        <v>33581834</v>
      </c>
      <c r="CJ121" s="168">
        <v>47437327</v>
      </c>
      <c r="CK121" s="168">
        <v>33682431</v>
      </c>
      <c r="CL121" s="21"/>
      <c r="CM121" s="21"/>
      <c r="CN121" s="21"/>
      <c r="CO121" s="21"/>
      <c r="CP121" s="168">
        <v>10295</v>
      </c>
      <c r="CQ121" s="168">
        <v>250815</v>
      </c>
      <c r="CR121" s="168">
        <v>240000</v>
      </c>
      <c r="CS121" s="168">
        <v>261110</v>
      </c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168">
        <v>1500</v>
      </c>
      <c r="DE121" s="21"/>
      <c r="DF121" s="168">
        <v>250941</v>
      </c>
      <c r="DG121" s="168">
        <v>133162</v>
      </c>
      <c r="DH121" s="168">
        <v>176362</v>
      </c>
      <c r="DI121" s="168">
        <v>384103</v>
      </c>
      <c r="DJ121" s="21"/>
      <c r="DK121" s="21"/>
      <c r="DL121" s="21"/>
      <c r="DM121" s="21"/>
      <c r="DN121" s="21"/>
      <c r="DO121" s="21"/>
      <c r="DP121" s="21"/>
      <c r="DQ121" s="21"/>
      <c r="DR121" s="168">
        <v>2720</v>
      </c>
      <c r="DS121" s="168">
        <v>9047</v>
      </c>
      <c r="DT121" s="168">
        <v>9047</v>
      </c>
      <c r="DU121" s="168">
        <v>11767</v>
      </c>
      <c r="DV121" s="21"/>
      <c r="DW121" s="21"/>
      <c r="DX121" s="21"/>
      <c r="DY121" s="21"/>
      <c r="DZ121" s="21"/>
      <c r="EA121" s="21"/>
      <c r="EB121" s="21"/>
      <c r="EC121" s="21"/>
      <c r="ED121" s="168">
        <v>3876307</v>
      </c>
      <c r="EE121" s="168">
        <v>6771627</v>
      </c>
      <c r="EF121" s="168">
        <v>3876307</v>
      </c>
      <c r="EG121" s="21"/>
      <c r="EH121" s="21"/>
      <c r="EI121" s="21"/>
      <c r="EJ121" s="21"/>
      <c r="EK121" s="168">
        <v>2003708</v>
      </c>
      <c r="EL121" s="168">
        <v>5879749</v>
      </c>
      <c r="EM121" s="168">
        <v>4754101</v>
      </c>
      <c r="EN121" s="168">
        <v>7883457</v>
      </c>
      <c r="EO121" s="168">
        <v>110091</v>
      </c>
      <c r="EP121" s="168">
        <v>146984125</v>
      </c>
      <c r="EQ121" s="168">
        <v>143049737</v>
      </c>
      <c r="ER121" s="168">
        <v>147094216</v>
      </c>
      <c r="ES121" s="168">
        <v>2610959</v>
      </c>
      <c r="ET121" s="168">
        <v>152988163</v>
      </c>
      <c r="EU121" s="168">
        <v>148009375</v>
      </c>
      <c r="EV121" s="168">
        <v>155599122</v>
      </c>
      <c r="EW121" s="21"/>
      <c r="EX121" s="168">
        <v>500000</v>
      </c>
      <c r="EY121" s="168">
        <v>826370</v>
      </c>
      <c r="EZ121" s="168">
        <v>500000</v>
      </c>
      <c r="FA121" s="21"/>
      <c r="FB121" s="21"/>
      <c r="FC121" s="21"/>
      <c r="FD121" s="21"/>
      <c r="FE121" s="168">
        <v>3876</v>
      </c>
      <c r="FF121" s="168">
        <v>7152245</v>
      </c>
      <c r="FG121" s="168">
        <v>13344604</v>
      </c>
      <c r="FH121" s="168">
        <v>7156121</v>
      </c>
      <c r="FI121" s="168">
        <v>-4430</v>
      </c>
      <c r="FJ121" s="168">
        <v>20101</v>
      </c>
      <c r="FK121" s="21"/>
      <c r="FL121" s="21"/>
      <c r="FM121" s="168">
        <v>6726</v>
      </c>
      <c r="FN121" s="168">
        <v>23006</v>
      </c>
      <c r="FO121" s="168">
        <v>92792</v>
      </c>
      <c r="FP121" s="168">
        <v>176504</v>
      </c>
      <c r="FQ121" s="168">
        <v>62145</v>
      </c>
      <c r="FR121" s="168">
        <v>62145</v>
      </c>
      <c r="FS121" s="168">
        <v>37125</v>
      </c>
      <c r="FT121" s="168">
        <v>77026</v>
      </c>
      <c r="FU121" s="168">
        <v>85139</v>
      </c>
      <c r="FV121" s="168">
        <v>-47132</v>
      </c>
      <c r="FW121" s="168">
        <v>2982931</v>
      </c>
      <c r="FX121" s="168">
        <v>4008394</v>
      </c>
      <c r="FY121" s="168">
        <v>1407107</v>
      </c>
      <c r="FZ121" s="168">
        <v>1342982</v>
      </c>
      <c r="GA121" s="21"/>
      <c r="GB121" s="21"/>
      <c r="GC121" s="168">
        <v>931</v>
      </c>
      <c r="GD121" s="168">
        <v>5961</v>
      </c>
      <c r="GE121" s="168">
        <v>131282</v>
      </c>
      <c r="GF121" s="168">
        <v>195415</v>
      </c>
      <c r="GG121" s="21"/>
      <c r="GH121" s="21"/>
      <c r="GI121" s="21"/>
      <c r="GJ121" s="21"/>
      <c r="GK121" s="21"/>
      <c r="GL121" s="168">
        <v>95255</v>
      </c>
      <c r="GM121" s="168">
        <v>5297143</v>
      </c>
      <c r="GN121" s="168">
        <v>7161335</v>
      </c>
      <c r="GO121" s="21"/>
      <c r="GP121" s="21"/>
      <c r="GQ121" s="21"/>
      <c r="GR121" s="21"/>
      <c r="GS121" s="21"/>
      <c r="GT121" s="21"/>
      <c r="GU121" s="168">
        <v>136643</v>
      </c>
      <c r="GV121" s="168">
        <v>276536</v>
      </c>
      <c r="GW121" s="168">
        <v>132213</v>
      </c>
      <c r="GX121" s="168">
        <v>296632</v>
      </c>
      <c r="GY121" s="21"/>
      <c r="GZ121" s="21"/>
      <c r="HA121" s="168">
        <v>21119507</v>
      </c>
      <c r="HB121" s="168">
        <v>26741222</v>
      </c>
      <c r="HC121" s="168">
        <v>40641450</v>
      </c>
      <c r="HD121" s="168">
        <v>56923397</v>
      </c>
      <c r="HE121" s="168">
        <v>1025</v>
      </c>
      <c r="HF121" s="168">
        <v>3711</v>
      </c>
      <c r="HG121" s="168">
        <v>24294</v>
      </c>
      <c r="HH121" s="168">
        <v>46962</v>
      </c>
      <c r="HI121" s="168">
        <v>50</v>
      </c>
      <c r="HJ121" s="168">
        <v>102</v>
      </c>
      <c r="HK121" s="21"/>
      <c r="HL121" s="21"/>
      <c r="HM121" s="168">
        <v>64</v>
      </c>
      <c r="HN121" s="168">
        <v>45</v>
      </c>
      <c r="HO121" s="168">
        <v>1231349</v>
      </c>
      <c r="HP121" s="168">
        <v>1024575</v>
      </c>
      <c r="HQ121" s="21"/>
      <c r="HR121" s="21"/>
      <c r="HS121" s="21"/>
      <c r="HT121" s="21"/>
      <c r="HU121" s="168">
        <v>372027</v>
      </c>
      <c r="HV121" s="168">
        <v>376335</v>
      </c>
      <c r="HW121" s="21"/>
      <c r="HX121" s="21"/>
      <c r="HY121" s="168">
        <v>89030</v>
      </c>
      <c r="HZ121" s="168">
        <v>84065</v>
      </c>
      <c r="IA121" s="21"/>
      <c r="IB121" s="21"/>
      <c r="IC121" s="168">
        <v>333599</v>
      </c>
      <c r="ID121" s="168">
        <v>193871</v>
      </c>
      <c r="IE121" s="168">
        <v>286612</v>
      </c>
      <c r="IF121" s="168">
        <v>258698</v>
      </c>
      <c r="IG121" s="168">
        <v>824263</v>
      </c>
      <c r="IH121" s="168">
        <v>368042</v>
      </c>
      <c r="II121" s="21"/>
      <c r="IJ121" s="21"/>
      <c r="IK121" s="21"/>
      <c r="IL121" s="21"/>
      <c r="IM121" s="168">
        <v>-15051796</v>
      </c>
      <c r="IN121" s="168">
        <v>-8750002</v>
      </c>
      <c r="IO121" s="168">
        <v>36751</v>
      </c>
      <c r="IP121" s="168">
        <v>36495</v>
      </c>
      <c r="IQ121" s="168">
        <v>2635</v>
      </c>
      <c r="IR121" s="168">
        <v>2475</v>
      </c>
      <c r="IS121" s="168">
        <v>64457</v>
      </c>
      <c r="IT121" s="168">
        <v>383982</v>
      </c>
      <c r="IU121" s="168">
        <v>9568296</v>
      </c>
      <c r="IV121" s="168">
        <v>12507627</v>
      </c>
      <c r="IW121" s="168">
        <v>10283051</v>
      </c>
      <c r="IX121" s="168">
        <v>12533198</v>
      </c>
      <c r="IY121" s="168">
        <v>-714755</v>
      </c>
      <c r="IZ121" s="168">
        <v>-25571</v>
      </c>
      <c r="JA121" s="168">
        <v>549673</v>
      </c>
      <c r="JB121" s="168">
        <v>557440</v>
      </c>
      <c r="JC121" s="168">
        <v>315037</v>
      </c>
      <c r="JD121" s="168">
        <v>66462</v>
      </c>
      <c r="JE121" s="168">
        <v>2472348</v>
      </c>
      <c r="JF121" s="168">
        <v>1982623</v>
      </c>
      <c r="JG121" s="168">
        <v>293211</v>
      </c>
      <c r="JH121" s="168">
        <v>437847</v>
      </c>
      <c r="JI121" s="168">
        <v>65897938</v>
      </c>
      <c r="JJ121" s="168">
        <v>83227530</v>
      </c>
      <c r="JK121" s="168">
        <v>1157929</v>
      </c>
      <c r="JL121" s="168">
        <v>561966</v>
      </c>
      <c r="JM121" s="168">
        <v>-14208862</v>
      </c>
      <c r="JN121" s="168">
        <v>-7754613</v>
      </c>
      <c r="JO121" s="168">
        <v>443174</v>
      </c>
      <c r="JP121" s="168">
        <v>536395</v>
      </c>
      <c r="JQ121" s="21"/>
      <c r="JR121" s="21"/>
      <c r="JS121" s="168">
        <v>-315410</v>
      </c>
      <c r="JT121" s="168">
        <v>-4167096</v>
      </c>
      <c r="JU121" s="21"/>
      <c r="JV121" s="21"/>
      <c r="JW121" s="168">
        <v>90389851</v>
      </c>
      <c r="JX121" s="168">
        <v>103515341</v>
      </c>
      <c r="JY121" s="21"/>
      <c r="JZ121" s="21"/>
      <c r="KA121" s="168">
        <v>90044247</v>
      </c>
      <c r="KB121" s="168">
        <v>103316153</v>
      </c>
      <c r="KC121" s="21"/>
      <c r="KD121" s="21"/>
      <c r="KE121" s="168">
        <v>345604</v>
      </c>
      <c r="KF121" s="168">
        <v>199188</v>
      </c>
      <c r="KG121" s="21"/>
      <c r="KH121" s="21"/>
      <c r="KI121" s="21"/>
      <c r="KJ121" s="21"/>
      <c r="KK121" s="21"/>
      <c r="KL121" s="21"/>
      <c r="KM121" s="21"/>
      <c r="KN121" s="21"/>
      <c r="KO121" s="21"/>
      <c r="KP121" s="21"/>
      <c r="KQ121" s="168">
        <v>3645604</v>
      </c>
      <c r="KR121" s="168">
        <v>3897640</v>
      </c>
      <c r="KS121" s="168">
        <v>22021000</v>
      </c>
      <c r="KT121" s="21"/>
      <c r="KU121" s="168">
        <v>3982377</v>
      </c>
      <c r="KV121" s="168">
        <v>3734680</v>
      </c>
      <c r="KW121" s="21"/>
      <c r="KX121" s="21"/>
      <c r="KY121" s="168">
        <v>556400</v>
      </c>
      <c r="KZ121" s="168">
        <v>936863</v>
      </c>
      <c r="LA121" s="168">
        <v>10000000</v>
      </c>
      <c r="LB121" s="168">
        <v>10000000</v>
      </c>
      <c r="LC121" s="21"/>
      <c r="LD121" s="21"/>
      <c r="LE121" s="168">
        <v>1407107</v>
      </c>
      <c r="LF121" s="168">
        <v>1342987</v>
      </c>
      <c r="LG121" s="21"/>
      <c r="LH121" s="21"/>
      <c r="LI121" s="168">
        <v>10694982</v>
      </c>
      <c r="LJ121" s="168">
        <v>11870663</v>
      </c>
      <c r="LK121" s="168">
        <v>23068712</v>
      </c>
      <c r="LL121" s="168">
        <v>26818493</v>
      </c>
      <c r="LM121" s="168">
        <v>600</v>
      </c>
      <c r="LN121" s="168">
        <v>1000</v>
      </c>
      <c r="LO121" s="21"/>
      <c r="LP121" s="21"/>
      <c r="LQ121" s="21"/>
      <c r="LR121" s="21"/>
      <c r="LS121" s="21"/>
      <c r="LT121" s="21"/>
      <c r="LU121" s="21"/>
      <c r="LV121" s="21"/>
      <c r="LW121" s="21"/>
      <c r="LX121" s="21"/>
      <c r="LY121" s="21"/>
      <c r="LZ121" s="21"/>
      <c r="MA121" s="168">
        <v>1808629</v>
      </c>
      <c r="MB121" s="168">
        <v>17035768</v>
      </c>
      <c r="MC121" s="21"/>
      <c r="MD121" s="168">
        <v>11760</v>
      </c>
      <c r="ME121" s="21"/>
      <c r="MF121" s="21"/>
      <c r="MG121" s="168">
        <v>452719</v>
      </c>
      <c r="MH121" s="168">
        <v>243276</v>
      </c>
      <c r="MI121" s="21"/>
      <c r="MJ121" s="21"/>
      <c r="MK121" s="21"/>
      <c r="ML121" s="21"/>
      <c r="MM121" s="168">
        <v>45316459</v>
      </c>
      <c r="MN121" s="168">
        <v>47324945</v>
      </c>
      <c r="MO121" s="168">
        <v>167697</v>
      </c>
      <c r="MP121" s="168">
        <v>146867</v>
      </c>
      <c r="MQ121" s="168">
        <v>1873329</v>
      </c>
      <c r="MR121" s="168">
        <v>1843819</v>
      </c>
      <c r="MS121" s="21"/>
      <c r="MT121" s="21"/>
      <c r="MU121" s="21"/>
      <c r="MV121" s="21"/>
      <c r="MW121" s="168">
        <v>20901549</v>
      </c>
      <c r="MX121" s="168">
        <v>14594264</v>
      </c>
      <c r="MY121" s="168">
        <v>23800</v>
      </c>
      <c r="MZ121" s="168">
        <v>22200</v>
      </c>
      <c r="NA121" s="21"/>
      <c r="NB121" s="21"/>
      <c r="NC121" s="168">
        <v>5297143</v>
      </c>
      <c r="ND121" s="168">
        <v>7161339</v>
      </c>
      <c r="NE121" s="21"/>
      <c r="NF121" s="21"/>
      <c r="NG121" s="168">
        <v>40204870</v>
      </c>
      <c r="NH121" s="168">
        <v>35512484</v>
      </c>
      <c r="NI121" s="21"/>
      <c r="NJ121" s="21"/>
      <c r="NK121" s="168">
        <v>3177161</v>
      </c>
      <c r="NL121" s="168">
        <v>2365784</v>
      </c>
      <c r="NM121" s="168">
        <v>107112386</v>
      </c>
      <c r="NN121" s="168">
        <v>107897132</v>
      </c>
      <c r="NO121" s="168">
        <v>152988163</v>
      </c>
      <c r="NP121" s="168">
        <v>148009375</v>
      </c>
      <c r="NQ121" s="168" t="s">
        <v>1208</v>
      </c>
      <c r="NR121" s="168" t="s">
        <v>939</v>
      </c>
      <c r="NS121" s="168" t="s">
        <v>770</v>
      </c>
      <c r="NT121" s="168" t="s">
        <v>771</v>
      </c>
      <c r="NU121" s="168">
        <v>7401</v>
      </c>
      <c r="NV121" s="168" t="s">
        <v>2104</v>
      </c>
      <c r="NW121" s="168" t="s">
        <v>28</v>
      </c>
      <c r="NX121" s="168" t="s">
        <v>25</v>
      </c>
      <c r="NY121" s="169">
        <v>42825</v>
      </c>
      <c r="NZ121" s="169">
        <v>42460</v>
      </c>
      <c r="OA121" s="169">
        <v>43048</v>
      </c>
      <c r="OB121" s="168" t="s">
        <v>1355</v>
      </c>
      <c r="OC121" s="168">
        <v>12</v>
      </c>
      <c r="OD121" s="168" t="s">
        <v>2105</v>
      </c>
      <c r="OE121" s="168" t="s">
        <v>1381</v>
      </c>
      <c r="OF121" s="168" t="s">
        <v>2486</v>
      </c>
      <c r="OG121" s="168" t="s">
        <v>1982</v>
      </c>
      <c r="OH121" s="168" t="s">
        <v>860</v>
      </c>
      <c r="OI121" s="168" t="s">
        <v>766</v>
      </c>
      <c r="OJ121" s="168" t="s">
        <v>3240</v>
      </c>
      <c r="OK121" s="168" t="s">
        <v>938</v>
      </c>
    </row>
    <row r="122" spans="1:401" x14ac:dyDescent="0.2">
      <c r="A122" s="170" t="str">
        <f>Liste[[#This Row],[Siren]]</f>
        <v>808395412</v>
      </c>
      <c r="B122" s="198" t="str">
        <f>Liste[[#This Row],[Dénomination]]&amp;" - comptes "&amp;YEAR(Liste[[#This Row],[Date de cloture de l''exercice]])</f>
        <v>THELMADIS - comptes 2017</v>
      </c>
      <c r="C122" s="21"/>
      <c r="D122" s="21"/>
      <c r="E122" s="21"/>
      <c r="F122" s="168">
        <v>2757146</v>
      </c>
      <c r="G122" s="168">
        <v>3442894</v>
      </c>
      <c r="H122" s="168">
        <v>2757146</v>
      </c>
      <c r="I122" s="168">
        <v>473578</v>
      </c>
      <c r="J122" s="168">
        <v>70896</v>
      </c>
      <c r="K122" s="168">
        <v>37260</v>
      </c>
      <c r="L122" s="168">
        <v>544474</v>
      </c>
      <c r="M122" s="21"/>
      <c r="N122" s="168">
        <v>3011</v>
      </c>
      <c r="O122" s="168">
        <v>3011</v>
      </c>
      <c r="P122" s="168">
        <v>3011</v>
      </c>
      <c r="Q122" s="21"/>
      <c r="R122" s="21"/>
      <c r="S122" s="21"/>
      <c r="T122" s="21"/>
      <c r="U122" s="21"/>
      <c r="V122" s="21"/>
      <c r="W122" s="21"/>
      <c r="X122" s="21"/>
      <c r="Y122" s="21"/>
      <c r="Z122" s="168">
        <v>754570</v>
      </c>
      <c r="AA122" s="168">
        <v>749455</v>
      </c>
      <c r="AB122" s="168">
        <v>754570</v>
      </c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168">
        <v>25000</v>
      </c>
      <c r="AT122" s="168">
        <v>25000</v>
      </c>
      <c r="AU122" s="168">
        <v>25000</v>
      </c>
      <c r="AV122" s="21"/>
      <c r="AW122" s="21"/>
      <c r="AX122" s="21"/>
      <c r="AY122" s="21"/>
      <c r="AZ122" s="168">
        <v>129074</v>
      </c>
      <c r="BA122" s="168">
        <v>145025</v>
      </c>
      <c r="BB122" s="168">
        <v>129074</v>
      </c>
      <c r="BC122" s="168">
        <v>133</v>
      </c>
      <c r="BD122" s="168">
        <v>11107</v>
      </c>
      <c r="BE122" s="168">
        <v>6132</v>
      </c>
      <c r="BF122" s="168">
        <v>11240</v>
      </c>
      <c r="BG122" s="168">
        <v>48298</v>
      </c>
      <c r="BH122" s="21"/>
      <c r="BI122" s="168">
        <v>980</v>
      </c>
      <c r="BJ122" s="168">
        <v>48298</v>
      </c>
      <c r="BK122" s="168">
        <v>4069765</v>
      </c>
      <c r="BL122" s="168">
        <v>11209924</v>
      </c>
      <c r="BM122" s="168">
        <v>9109889</v>
      </c>
      <c r="BN122" s="168">
        <v>15279689</v>
      </c>
      <c r="BO122" s="21"/>
      <c r="BP122" s="21"/>
      <c r="BQ122" s="21"/>
      <c r="BR122" s="21"/>
      <c r="BS122" s="21"/>
      <c r="BT122" s="21"/>
      <c r="BU122" s="21"/>
      <c r="BV122" s="21"/>
      <c r="BW122" s="21"/>
      <c r="BX122" s="168">
        <v>2856159</v>
      </c>
      <c r="BY122" s="168">
        <v>3332007</v>
      </c>
      <c r="BZ122" s="168">
        <v>2856159</v>
      </c>
      <c r="CA122" s="21"/>
      <c r="CB122" s="21"/>
      <c r="CC122" s="21"/>
      <c r="CD122" s="168">
        <v>372079</v>
      </c>
      <c r="CE122" s="168">
        <v>13885479</v>
      </c>
      <c r="CF122" s="168">
        <v>3665604</v>
      </c>
      <c r="CG122" s="168">
        <v>14257558</v>
      </c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168">
        <v>10604638</v>
      </c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168">
        <v>18315</v>
      </c>
      <c r="DD122" s="168">
        <v>554036</v>
      </c>
      <c r="DE122" s="168">
        <v>18315</v>
      </c>
      <c r="DF122" s="168">
        <v>1951570</v>
      </c>
      <c r="DG122" s="168">
        <v>854709</v>
      </c>
      <c r="DH122" s="168">
        <v>235881</v>
      </c>
      <c r="DI122" s="168">
        <v>2806279</v>
      </c>
      <c r="DJ122" s="168">
        <v>168095</v>
      </c>
      <c r="DK122" s="168">
        <v>3290637</v>
      </c>
      <c r="DL122" s="168">
        <v>2433356</v>
      </c>
      <c r="DM122" s="168">
        <v>3458732</v>
      </c>
      <c r="DN122" s="21"/>
      <c r="DO122" s="168">
        <v>28022</v>
      </c>
      <c r="DP122" s="168">
        <v>13743</v>
      </c>
      <c r="DQ122" s="168">
        <v>28022</v>
      </c>
      <c r="DR122" s="21"/>
      <c r="DS122" s="21"/>
      <c r="DT122" s="21"/>
      <c r="DU122" s="21"/>
      <c r="DV122" s="21"/>
      <c r="DW122" s="168">
        <v>19669</v>
      </c>
      <c r="DX122" s="168">
        <v>28268</v>
      </c>
      <c r="DY122" s="168">
        <v>19669</v>
      </c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168">
        <v>6915290</v>
      </c>
      <c r="EL122" s="168">
        <v>26990188</v>
      </c>
      <c r="EM122" s="168">
        <v>25162637</v>
      </c>
      <c r="EN122" s="168">
        <v>33905478</v>
      </c>
      <c r="EO122" s="168">
        <v>168228</v>
      </c>
      <c r="EP122" s="168">
        <v>16084555</v>
      </c>
      <c r="EQ122" s="168">
        <v>17707996</v>
      </c>
      <c r="ER122" s="168">
        <v>16252783</v>
      </c>
      <c r="ES122" s="168">
        <v>7083518</v>
      </c>
      <c r="ET122" s="168">
        <v>43099744</v>
      </c>
      <c r="EU122" s="168">
        <v>42895633</v>
      </c>
      <c r="EV122" s="168">
        <v>50183262</v>
      </c>
      <c r="EW122" s="21"/>
      <c r="EX122" s="168">
        <v>173615</v>
      </c>
      <c r="EY122" s="168">
        <v>173615</v>
      </c>
      <c r="EZ122" s="168">
        <v>173615</v>
      </c>
      <c r="FA122" s="21"/>
      <c r="FB122" s="21"/>
      <c r="FC122" s="21"/>
      <c r="FD122" s="21"/>
      <c r="FE122" s="21"/>
      <c r="FF122" s="168">
        <v>7012410</v>
      </c>
      <c r="FG122" s="168">
        <v>8334839</v>
      </c>
      <c r="FH122" s="168">
        <v>7012410</v>
      </c>
      <c r="FI122" s="168">
        <v>104277</v>
      </c>
      <c r="FJ122" s="168">
        <v>-95445</v>
      </c>
      <c r="FK122" s="21"/>
      <c r="FL122" s="21"/>
      <c r="FM122" s="21"/>
      <c r="FN122" s="21"/>
      <c r="FO122" s="21"/>
      <c r="FP122" s="21"/>
      <c r="FQ122" s="168">
        <v>179153</v>
      </c>
      <c r="FR122" s="168">
        <v>192926</v>
      </c>
      <c r="FS122" s="21"/>
      <c r="FT122" s="21"/>
      <c r="FU122" s="168">
        <v>-120199</v>
      </c>
      <c r="FV122" s="168">
        <v>-30471</v>
      </c>
      <c r="FW122" s="168">
        <v>729170</v>
      </c>
      <c r="FX122" s="168">
        <v>815068</v>
      </c>
      <c r="FY122" s="168">
        <v>12318</v>
      </c>
      <c r="FZ122" s="168">
        <v>13769</v>
      </c>
      <c r="GA122" s="21"/>
      <c r="GB122" s="21"/>
      <c r="GC122" s="21"/>
      <c r="GD122" s="21"/>
      <c r="GE122" s="21"/>
      <c r="GF122" s="21"/>
      <c r="GG122" s="21"/>
      <c r="GH122" s="21"/>
      <c r="GI122" s="21"/>
      <c r="GJ122" s="21"/>
      <c r="GK122" s="21"/>
      <c r="GL122" s="21"/>
      <c r="GM122" s="168">
        <v>1503079</v>
      </c>
      <c r="GN122" s="168">
        <v>3628697</v>
      </c>
      <c r="GO122" s="168">
        <v>1682232</v>
      </c>
      <c r="GP122" s="168">
        <v>1821623</v>
      </c>
      <c r="GQ122" s="21"/>
      <c r="GR122" s="21"/>
      <c r="GS122" s="168">
        <v>1490761</v>
      </c>
      <c r="GT122" s="168">
        <v>2614930</v>
      </c>
      <c r="GU122" s="168">
        <v>118111</v>
      </c>
      <c r="GV122" s="168">
        <v>125022</v>
      </c>
      <c r="GW122" s="168">
        <v>2223881</v>
      </c>
      <c r="GX122" s="168">
        <v>29579</v>
      </c>
      <c r="GY122" s="168">
        <v>48373856</v>
      </c>
      <c r="GZ122" s="168">
        <v>45840029</v>
      </c>
      <c r="HA122" s="21"/>
      <c r="HB122" s="21"/>
      <c r="HC122" s="21"/>
      <c r="HD122" s="21"/>
      <c r="HE122" s="21"/>
      <c r="HF122" s="21"/>
      <c r="HG122" s="21"/>
      <c r="HH122" s="21"/>
      <c r="HI122" s="21"/>
      <c r="HJ122" s="21"/>
      <c r="HK122" s="21"/>
      <c r="HL122" s="21"/>
      <c r="HM122" s="21"/>
      <c r="HN122" s="21"/>
      <c r="HO122" s="21"/>
      <c r="HP122" s="21"/>
      <c r="HQ122" s="21"/>
      <c r="HR122" s="21"/>
      <c r="HS122" s="21"/>
      <c r="HT122" s="21"/>
      <c r="HU122" s="21"/>
      <c r="HV122" s="21"/>
      <c r="HW122" s="21"/>
      <c r="HX122" s="21"/>
      <c r="HY122" s="21"/>
      <c r="HZ122" s="21"/>
      <c r="IA122" s="21"/>
      <c r="IB122" s="21"/>
      <c r="IC122" s="21"/>
      <c r="ID122" s="21"/>
      <c r="IE122" s="21"/>
      <c r="IF122" s="21"/>
      <c r="IG122" s="21"/>
      <c r="IH122" s="21"/>
      <c r="II122" s="21"/>
      <c r="IJ122" s="21"/>
      <c r="IK122" s="21"/>
      <c r="IL122" s="21"/>
      <c r="IM122" s="21"/>
      <c r="IN122" s="21"/>
      <c r="IO122" s="21"/>
      <c r="IP122" s="21"/>
      <c r="IQ122" s="21"/>
      <c r="IR122" s="21"/>
      <c r="IS122" s="21"/>
      <c r="IT122" s="21"/>
      <c r="IU122" s="168">
        <v>2186926</v>
      </c>
      <c r="IV122" s="168">
        <v>2701665</v>
      </c>
      <c r="IW122" s="21"/>
      <c r="IX122" s="21"/>
      <c r="IY122" s="168">
        <v>-279282</v>
      </c>
      <c r="IZ122" s="168">
        <v>-264407</v>
      </c>
      <c r="JA122" s="21"/>
      <c r="JB122" s="21"/>
      <c r="JC122" s="21"/>
      <c r="JD122" s="21"/>
      <c r="JE122" s="21"/>
      <c r="JF122" s="21"/>
      <c r="JG122" s="21"/>
      <c r="JH122" s="21"/>
      <c r="JI122" s="168">
        <v>9908503</v>
      </c>
      <c r="JJ122" s="168">
        <v>8971507</v>
      </c>
      <c r="JK122" s="21"/>
      <c r="JL122" s="21"/>
      <c r="JM122" s="168">
        <v>59356516</v>
      </c>
      <c r="JN122" s="168">
        <v>57240609</v>
      </c>
      <c r="JO122" s="21"/>
      <c r="JP122" s="21"/>
      <c r="JQ122" s="168">
        <v>16854</v>
      </c>
      <c r="JR122" s="168">
        <v>-39831</v>
      </c>
      <c r="JS122" s="21"/>
      <c r="JT122" s="21"/>
      <c r="JU122" s="21"/>
      <c r="JV122" s="21"/>
      <c r="JW122" s="168">
        <v>59356516</v>
      </c>
      <c r="JX122" s="168">
        <v>57240609</v>
      </c>
      <c r="JY122" s="21"/>
      <c r="JZ122" s="21"/>
      <c r="KA122" s="21"/>
      <c r="KB122" s="21"/>
      <c r="KC122" s="21"/>
      <c r="KD122" s="21"/>
      <c r="KE122" s="21"/>
      <c r="KF122" s="21"/>
      <c r="KG122" s="21"/>
      <c r="KH122" s="21"/>
      <c r="KI122" s="168">
        <v>59698495</v>
      </c>
      <c r="KJ122" s="168">
        <v>57495780</v>
      </c>
      <c r="KK122" s="21"/>
      <c r="KL122" s="21"/>
      <c r="KM122" s="21"/>
      <c r="KN122" s="21"/>
      <c r="KO122" s="21"/>
      <c r="KP122" s="21"/>
      <c r="KQ122" s="168">
        <v>103524</v>
      </c>
      <c r="KR122" s="168">
        <v>124946</v>
      </c>
      <c r="KS122" s="21"/>
      <c r="KT122" s="21"/>
      <c r="KU122" s="168">
        <v>2619622</v>
      </c>
      <c r="KV122" s="21"/>
      <c r="KW122" s="21"/>
      <c r="KX122" s="21"/>
      <c r="KY122" s="21"/>
      <c r="KZ122" s="21"/>
      <c r="LA122" s="168">
        <v>50000</v>
      </c>
      <c r="LB122" s="168">
        <v>50000</v>
      </c>
      <c r="LC122" s="21"/>
      <c r="LD122" s="21"/>
      <c r="LE122" s="168">
        <v>12318</v>
      </c>
      <c r="LF122" s="168">
        <v>13767</v>
      </c>
      <c r="LG122" s="21"/>
      <c r="LH122" s="21"/>
      <c r="LI122" s="168">
        <v>2328385</v>
      </c>
      <c r="LJ122" s="168">
        <v>2270240</v>
      </c>
      <c r="LK122" s="168">
        <v>4779252</v>
      </c>
      <c r="LL122" s="168">
        <v>3718632</v>
      </c>
      <c r="LM122" s="168">
        <v>292631</v>
      </c>
      <c r="LN122" s="168">
        <v>153154</v>
      </c>
      <c r="LO122" s="21"/>
      <c r="LP122" s="21"/>
      <c r="LQ122" s="21"/>
      <c r="LR122" s="21"/>
      <c r="LS122" s="21"/>
      <c r="LT122" s="21"/>
      <c r="LU122" s="21"/>
      <c r="LV122" s="21"/>
      <c r="LW122" s="21"/>
      <c r="LX122" s="21"/>
      <c r="LY122" s="21"/>
      <c r="LZ122" s="21"/>
      <c r="MA122" s="168">
        <v>30493103</v>
      </c>
      <c r="MB122" s="168">
        <v>31103274</v>
      </c>
      <c r="MC122" s="168">
        <v>73248</v>
      </c>
      <c r="MD122" s="168">
        <v>1524201</v>
      </c>
      <c r="ME122" s="21"/>
      <c r="MF122" s="21"/>
      <c r="MG122" s="168">
        <v>1645621</v>
      </c>
      <c r="MH122" s="168">
        <v>1765820</v>
      </c>
      <c r="MI122" s="21"/>
      <c r="MJ122" s="21"/>
      <c r="MK122" s="21"/>
      <c r="ML122" s="21"/>
      <c r="MM122" s="21"/>
      <c r="MN122" s="21"/>
      <c r="MO122" s="168">
        <v>51642</v>
      </c>
      <c r="MP122" s="21"/>
      <c r="MQ122" s="168">
        <v>72776</v>
      </c>
      <c r="MR122" s="168">
        <v>258815</v>
      </c>
      <c r="MS122" s="21"/>
      <c r="MT122" s="21"/>
      <c r="MU122" s="168">
        <v>1490761</v>
      </c>
      <c r="MV122" s="168">
        <v>1614930</v>
      </c>
      <c r="MW122" s="168">
        <v>5000</v>
      </c>
      <c r="MX122" s="21"/>
      <c r="MY122" s="21"/>
      <c r="MZ122" s="21"/>
      <c r="NA122" s="21"/>
      <c r="NB122" s="21"/>
      <c r="NC122" s="21"/>
      <c r="ND122" s="21"/>
      <c r="NE122" s="21"/>
      <c r="NF122" s="21"/>
      <c r="NG122" s="168">
        <v>3145799</v>
      </c>
      <c r="NH122" s="168">
        <v>1792777</v>
      </c>
      <c r="NI122" s="21"/>
      <c r="NJ122" s="21"/>
      <c r="NK122" s="168">
        <v>113763</v>
      </c>
      <c r="NL122" s="168">
        <v>183773</v>
      </c>
      <c r="NM122" s="168">
        <v>38070143</v>
      </c>
      <c r="NN122" s="168">
        <v>38894447</v>
      </c>
      <c r="NO122" s="168">
        <v>43099744</v>
      </c>
      <c r="NP122" s="168">
        <v>42895633</v>
      </c>
      <c r="NQ122" s="168" t="s">
        <v>861</v>
      </c>
      <c r="NR122" s="168" t="s">
        <v>769</v>
      </c>
      <c r="NS122" s="168" t="s">
        <v>770</v>
      </c>
      <c r="NT122" s="168" t="s">
        <v>771</v>
      </c>
      <c r="NU122" s="168">
        <v>7401</v>
      </c>
      <c r="NV122" s="168" t="s">
        <v>2133</v>
      </c>
      <c r="NW122" s="168" t="s">
        <v>28</v>
      </c>
      <c r="NX122" s="168" t="s">
        <v>25</v>
      </c>
      <c r="NY122" s="169">
        <v>42825</v>
      </c>
      <c r="NZ122" s="169">
        <v>42460</v>
      </c>
      <c r="OA122" s="169">
        <v>43055</v>
      </c>
      <c r="OB122" s="168" t="s">
        <v>862</v>
      </c>
      <c r="OC122" s="168">
        <v>12</v>
      </c>
      <c r="OD122" s="168" t="s">
        <v>2105</v>
      </c>
      <c r="OE122" s="168" t="s">
        <v>863</v>
      </c>
      <c r="OF122" s="168" t="s">
        <v>2134</v>
      </c>
      <c r="OG122" s="168" t="s">
        <v>1823</v>
      </c>
      <c r="OH122" s="168" t="s">
        <v>860</v>
      </c>
      <c r="OI122" s="168" t="s">
        <v>825</v>
      </c>
      <c r="OJ122" s="168" t="s">
        <v>3242</v>
      </c>
      <c r="OK122" s="168" t="s">
        <v>767</v>
      </c>
    </row>
    <row r="123" spans="1:401" x14ac:dyDescent="0.2">
      <c r="A123" s="170" t="str">
        <f>Liste[[#This Row],[Siren]]</f>
        <v>387486715</v>
      </c>
      <c r="B123" s="198" t="str">
        <f>Liste[[#This Row],[Dénomination]]&amp;" - comptes "&amp;YEAR(Liste[[#This Row],[Date de cloture de l''exercice]])</f>
        <v>PACA PARTICIPATIONS - comptes 2017</v>
      </c>
      <c r="C123" s="21"/>
      <c r="D123" s="21"/>
      <c r="E123" s="21"/>
      <c r="F123" s="168">
        <v>3485602</v>
      </c>
      <c r="G123" s="168">
        <v>2353553</v>
      </c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168">
        <v>309434</v>
      </c>
      <c r="BE123" s="168">
        <v>515816</v>
      </c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168">
        <v>3591062</v>
      </c>
      <c r="BY123" s="168">
        <v>3416854</v>
      </c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168">
        <v>24740176</v>
      </c>
      <c r="EM123" s="168">
        <v>29599236</v>
      </c>
      <c r="EN123" s="21"/>
      <c r="EO123" s="21"/>
      <c r="EP123" s="168">
        <v>15098771</v>
      </c>
      <c r="EQ123" s="168">
        <v>14522354</v>
      </c>
      <c r="ER123" s="21"/>
      <c r="ES123" s="21"/>
      <c r="ET123" s="168">
        <v>39838947</v>
      </c>
      <c r="EU123" s="168">
        <v>44121590</v>
      </c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168">
        <v>2114723</v>
      </c>
      <c r="FG123" s="168">
        <v>2892777</v>
      </c>
      <c r="FH123" s="21"/>
      <c r="FI123" s="168">
        <v>-2525916</v>
      </c>
      <c r="FJ123" s="168">
        <v>31944</v>
      </c>
      <c r="FK123" s="168">
        <v>-362520</v>
      </c>
      <c r="FL123" s="168">
        <v>1776291</v>
      </c>
      <c r="FM123" s="168">
        <v>22471</v>
      </c>
      <c r="FN123" s="168">
        <v>4997</v>
      </c>
      <c r="FO123" s="21"/>
      <c r="FP123" s="21"/>
      <c r="FQ123" s="21"/>
      <c r="FR123" s="21"/>
      <c r="FS123" s="21"/>
      <c r="FT123" s="168">
        <v>6205</v>
      </c>
      <c r="FU123" s="168">
        <v>-376577</v>
      </c>
      <c r="FV123" s="168">
        <v>21071</v>
      </c>
      <c r="FW123" s="168">
        <v>-1947</v>
      </c>
      <c r="FX123" s="168">
        <v>668975</v>
      </c>
      <c r="FY123" s="168">
        <v>22647</v>
      </c>
      <c r="FZ123" s="168">
        <v>36815</v>
      </c>
      <c r="GA123" s="21"/>
      <c r="GB123" s="21"/>
      <c r="GC123" s="168">
        <v>236376</v>
      </c>
      <c r="GD123" s="168">
        <v>111789</v>
      </c>
      <c r="GE123" s="21"/>
      <c r="GF123" s="21"/>
      <c r="GG123" s="21"/>
      <c r="GH123" s="21"/>
      <c r="GI123" s="21"/>
      <c r="GJ123" s="21"/>
      <c r="GK123" s="21"/>
      <c r="GL123" s="21"/>
      <c r="GM123" s="168">
        <v>-362520</v>
      </c>
      <c r="GN123" s="168">
        <v>1758260</v>
      </c>
      <c r="GO123" s="21"/>
      <c r="GP123" s="21"/>
      <c r="GQ123" s="21"/>
      <c r="GR123" s="21"/>
      <c r="GS123" s="168">
        <v>-385167</v>
      </c>
      <c r="GT123" s="168">
        <v>1721445</v>
      </c>
      <c r="GU123" s="168">
        <v>2762292</v>
      </c>
      <c r="GV123" s="168">
        <v>85077</v>
      </c>
      <c r="GW123" s="168">
        <v>236376</v>
      </c>
      <c r="GX123" s="168">
        <v>117021</v>
      </c>
      <c r="GY123" s="168">
        <v>81240756</v>
      </c>
      <c r="GZ123" s="168">
        <v>82010747</v>
      </c>
      <c r="HA123" s="168">
        <v>215138</v>
      </c>
      <c r="HB123" s="168">
        <v>256691</v>
      </c>
      <c r="HC123" s="168">
        <v>10374060</v>
      </c>
      <c r="HD123" s="168">
        <v>10585700</v>
      </c>
      <c r="HE123" s="168">
        <v>123784</v>
      </c>
      <c r="HF123" s="168">
        <v>30183</v>
      </c>
      <c r="HG123" s="168">
        <v>61803</v>
      </c>
      <c r="HH123" s="168">
        <v>57463</v>
      </c>
      <c r="HI123" s="168">
        <v>112341</v>
      </c>
      <c r="HJ123" s="168">
        <v>49555</v>
      </c>
      <c r="HK123" s="21"/>
      <c r="HL123" s="21"/>
      <c r="HM123" s="21"/>
      <c r="HN123" s="21"/>
      <c r="HO123" s="168">
        <v>2370272</v>
      </c>
      <c r="HP123" s="168">
        <v>2330374</v>
      </c>
      <c r="HQ123" s="21"/>
      <c r="HR123" s="21"/>
      <c r="HS123" s="21"/>
      <c r="HT123" s="21"/>
      <c r="HU123" s="168">
        <v>2404106</v>
      </c>
      <c r="HV123" s="168">
        <v>2480659</v>
      </c>
      <c r="HW123" s="21"/>
      <c r="HX123" s="21"/>
      <c r="HY123" s="21"/>
      <c r="HZ123" s="21"/>
      <c r="IA123" s="21"/>
      <c r="IB123" s="21"/>
      <c r="IC123" s="21"/>
      <c r="ID123" s="21"/>
      <c r="IE123" s="168">
        <v>1421885</v>
      </c>
      <c r="IF123" s="168">
        <v>1446716</v>
      </c>
      <c r="IG123" s="168">
        <v>204667</v>
      </c>
      <c r="IH123" s="168">
        <v>294657</v>
      </c>
      <c r="II123" s="21"/>
      <c r="IJ123" s="21"/>
      <c r="IK123" s="21"/>
      <c r="IL123" s="21"/>
      <c r="IM123" s="21"/>
      <c r="IN123" s="21"/>
      <c r="IO123" s="168">
        <v>25812</v>
      </c>
      <c r="IP123" s="168">
        <v>49749</v>
      </c>
      <c r="IQ123" s="168">
        <v>5368</v>
      </c>
      <c r="IR123" s="168">
        <v>11429</v>
      </c>
      <c r="IS123" s="21"/>
      <c r="IT123" s="21"/>
      <c r="IU123" s="168">
        <v>1784872</v>
      </c>
      <c r="IV123" s="168">
        <v>2434393</v>
      </c>
      <c r="IW123" s="168">
        <v>1896556</v>
      </c>
      <c r="IX123" s="168">
        <v>2610409</v>
      </c>
      <c r="IY123" s="168">
        <v>-111684</v>
      </c>
      <c r="IZ123" s="168">
        <v>-176016</v>
      </c>
      <c r="JA123" s="168">
        <v>129486</v>
      </c>
      <c r="JB123" s="168">
        <v>81614</v>
      </c>
      <c r="JC123" s="21"/>
      <c r="JD123" s="21"/>
      <c r="JE123" s="168">
        <v>7588710</v>
      </c>
      <c r="JF123" s="168">
        <v>7543525</v>
      </c>
      <c r="JG123" s="168">
        <v>42293</v>
      </c>
      <c r="JH123" s="168">
        <v>24218</v>
      </c>
      <c r="JI123" s="168">
        <v>105708631</v>
      </c>
      <c r="JJ123" s="168">
        <v>106842478</v>
      </c>
      <c r="JK123" s="168">
        <v>204667</v>
      </c>
      <c r="JL123" s="168">
        <v>294657</v>
      </c>
      <c r="JM123" s="168">
        <v>107605187</v>
      </c>
      <c r="JN123" s="168">
        <v>109452887</v>
      </c>
      <c r="JO123" s="168">
        <v>92983</v>
      </c>
      <c r="JP123" s="168">
        <v>118641</v>
      </c>
      <c r="JQ123" s="168">
        <v>-285213</v>
      </c>
      <c r="JR123" s="168">
        <v>-155735</v>
      </c>
      <c r="JS123" s="21"/>
      <c r="JT123" s="21"/>
      <c r="JU123" s="21"/>
      <c r="JV123" s="21"/>
      <c r="JW123" s="168">
        <v>107129663</v>
      </c>
      <c r="JX123" s="168">
        <v>108923016</v>
      </c>
      <c r="JY123" s="21"/>
      <c r="JZ123" s="21"/>
      <c r="KA123" s="21"/>
      <c r="KB123" s="21"/>
      <c r="KC123" s="21"/>
      <c r="KD123" s="21"/>
      <c r="KE123" s="21"/>
      <c r="KF123" s="21"/>
      <c r="KG123" s="21"/>
      <c r="KH123" s="21"/>
      <c r="KI123" s="21"/>
      <c r="KJ123" s="21"/>
      <c r="KK123" s="21"/>
      <c r="KL123" s="21"/>
      <c r="KM123" s="21"/>
      <c r="KN123" s="21"/>
      <c r="KO123" s="21"/>
      <c r="KP123" s="21"/>
      <c r="KQ123" s="168">
        <v>3283942</v>
      </c>
      <c r="KR123" s="168">
        <v>3907885</v>
      </c>
      <c r="KS123" s="21"/>
      <c r="KT123" s="21"/>
      <c r="KU123" s="21"/>
      <c r="KV123" s="21"/>
      <c r="KW123" s="21"/>
      <c r="KX123" s="21"/>
      <c r="KY123" s="21"/>
      <c r="KZ123" s="21"/>
      <c r="LA123" s="168">
        <v>38250</v>
      </c>
      <c r="LB123" s="168">
        <v>38250</v>
      </c>
      <c r="LC123" s="21"/>
      <c r="LD123" s="21"/>
      <c r="LE123" s="21"/>
      <c r="LF123" s="21"/>
      <c r="LG123" s="21"/>
      <c r="LH123" s="21"/>
      <c r="LI123" s="21"/>
      <c r="LJ123" s="21"/>
      <c r="LK123" s="168">
        <v>8131338</v>
      </c>
      <c r="LL123" s="168">
        <v>8282964</v>
      </c>
      <c r="LM123" s="21"/>
      <c r="LN123" s="21"/>
      <c r="LO123" s="21"/>
      <c r="LP123" s="21"/>
      <c r="LQ123" s="21"/>
      <c r="LR123" s="21"/>
      <c r="LS123" s="21"/>
      <c r="LT123" s="21"/>
      <c r="LU123" s="21"/>
      <c r="LV123" s="21"/>
      <c r="LW123" s="21"/>
      <c r="LX123" s="21"/>
      <c r="LY123" s="21"/>
      <c r="LZ123" s="21"/>
      <c r="MA123" s="168">
        <v>605480</v>
      </c>
      <c r="MB123" s="168">
        <v>238511</v>
      </c>
      <c r="MC123" s="168">
        <v>9303285</v>
      </c>
      <c r="MD123" s="168">
        <v>11874807</v>
      </c>
      <c r="ME123" s="21"/>
      <c r="MF123" s="21"/>
      <c r="MG123" s="21"/>
      <c r="MH123" s="21"/>
      <c r="MI123" s="21"/>
      <c r="MJ123" s="21"/>
      <c r="MK123" s="21"/>
      <c r="ML123" s="21"/>
      <c r="MM123" s="21"/>
      <c r="MN123" s="21"/>
      <c r="MO123" s="21"/>
      <c r="MP123" s="21"/>
      <c r="MQ123" s="21"/>
      <c r="MR123" s="21"/>
      <c r="MS123" s="21"/>
      <c r="MT123" s="21"/>
      <c r="MU123" s="21"/>
      <c r="MV123" s="21"/>
      <c r="MW123" s="21"/>
      <c r="MX123" s="21"/>
      <c r="MY123" s="21"/>
      <c r="MZ123" s="21"/>
      <c r="NA123" s="21"/>
      <c r="NB123" s="21"/>
      <c r="NC123" s="168">
        <v>-385167</v>
      </c>
      <c r="ND123" s="168">
        <v>1721</v>
      </c>
      <c r="NE123" s="21"/>
      <c r="NF123" s="21"/>
      <c r="NG123" s="168">
        <v>18202686</v>
      </c>
      <c r="NH123" s="168">
        <v>19587858</v>
      </c>
      <c r="NI123" s="21"/>
      <c r="NJ123" s="21"/>
      <c r="NK123" s="168">
        <v>237716</v>
      </c>
      <c r="NL123" s="168">
        <v>215065</v>
      </c>
      <c r="NM123" s="168">
        <v>21324045</v>
      </c>
      <c r="NN123" s="168">
        <v>24304167</v>
      </c>
      <c r="NO123" s="168">
        <v>39838947</v>
      </c>
      <c r="NP123" s="168">
        <v>44121590</v>
      </c>
      <c r="NQ123" s="168" t="s">
        <v>850</v>
      </c>
      <c r="NR123" s="168" t="s">
        <v>797</v>
      </c>
      <c r="NS123" s="168" t="s">
        <v>770</v>
      </c>
      <c r="NT123" s="168" t="s">
        <v>771</v>
      </c>
      <c r="NU123" s="168">
        <v>8302</v>
      </c>
      <c r="NV123" s="168" t="s">
        <v>2104</v>
      </c>
      <c r="NW123" s="168" t="s">
        <v>28</v>
      </c>
      <c r="NX123" s="168" t="s">
        <v>25</v>
      </c>
      <c r="NY123" s="169">
        <v>42825</v>
      </c>
      <c r="NZ123" s="169">
        <v>42460</v>
      </c>
      <c r="OA123" s="169">
        <v>43075</v>
      </c>
      <c r="OB123" s="168" t="s">
        <v>851</v>
      </c>
      <c r="OC123" s="168">
        <v>12</v>
      </c>
      <c r="OD123" s="168" t="s">
        <v>2105</v>
      </c>
      <c r="OE123" s="168" t="s">
        <v>2127</v>
      </c>
      <c r="OF123" s="168" t="s">
        <v>2128</v>
      </c>
      <c r="OG123" s="168" t="s">
        <v>1820</v>
      </c>
      <c r="OH123" s="168" t="s">
        <v>849</v>
      </c>
      <c r="OI123" s="168" t="s">
        <v>766</v>
      </c>
      <c r="OJ123" s="168" t="s">
        <v>3240</v>
      </c>
      <c r="OK123" s="168" t="s">
        <v>796</v>
      </c>
    </row>
    <row r="124" spans="1:401" x14ac:dyDescent="0.2">
      <c r="A124" s="170" t="str">
        <f>Liste[[#This Row],[Siren]]</f>
        <v>381074590</v>
      </c>
      <c r="B124" s="198" t="str">
        <f>Liste[[#This Row],[Dénomination]]&amp;" - comptes "&amp;YEAR(Liste[[#This Row],[Date de cloture de l''exercice]])</f>
        <v>COFINUR - comptes 2017</v>
      </c>
      <c r="C124" s="21"/>
      <c r="D124" s="21"/>
      <c r="E124" s="21"/>
      <c r="F124" s="168">
        <v>14755000</v>
      </c>
      <c r="G124" s="168">
        <v>11787000</v>
      </c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168">
        <v>16169000</v>
      </c>
      <c r="BE124" s="168">
        <v>20103000</v>
      </c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168">
        <v>3190000</v>
      </c>
      <c r="BY124" s="168">
        <v>3274000</v>
      </c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168">
        <v>28648000</v>
      </c>
      <c r="EM124" s="168">
        <v>20937000</v>
      </c>
      <c r="EN124" s="21"/>
      <c r="EO124" s="21"/>
      <c r="EP124" s="168">
        <v>56544000</v>
      </c>
      <c r="EQ124" s="168">
        <v>58258000</v>
      </c>
      <c r="ER124" s="21"/>
      <c r="ES124" s="21"/>
      <c r="ET124" s="168">
        <v>85193000</v>
      </c>
      <c r="EU124" s="168">
        <v>79194000</v>
      </c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168">
        <v>64000</v>
      </c>
      <c r="FH124" s="21"/>
      <c r="FI124" s="168">
        <v>3224000</v>
      </c>
      <c r="FJ124" s="168">
        <v>3512000</v>
      </c>
      <c r="FK124" s="21"/>
      <c r="FL124" s="21"/>
      <c r="FM124" s="168">
        <v>1254000</v>
      </c>
      <c r="FN124" s="168">
        <v>440000</v>
      </c>
      <c r="FO124" s="21"/>
      <c r="FP124" s="21"/>
      <c r="FQ124" s="21"/>
      <c r="FR124" s="21"/>
      <c r="FS124" s="21"/>
      <c r="FT124" s="21"/>
      <c r="FU124" s="21"/>
      <c r="FV124" s="21"/>
      <c r="FW124" s="21"/>
      <c r="FX124" s="21"/>
      <c r="FY124" s="21"/>
      <c r="FZ124" s="21"/>
      <c r="GA124" s="21"/>
      <c r="GB124" s="21"/>
      <c r="GC124" s="168">
        <v>1164000</v>
      </c>
      <c r="GD124" s="168">
        <v>1047000</v>
      </c>
      <c r="GE124" s="21"/>
      <c r="GF124" s="21"/>
      <c r="GG124" s="21"/>
      <c r="GH124" s="21"/>
      <c r="GI124" s="21"/>
      <c r="GJ124" s="21"/>
      <c r="GK124" s="21"/>
      <c r="GL124" s="21"/>
      <c r="GM124" s="168">
        <v>3224000</v>
      </c>
      <c r="GN124" s="168">
        <v>3512000</v>
      </c>
      <c r="GO124" s="21"/>
      <c r="GP124" s="21"/>
      <c r="GQ124" s="21"/>
      <c r="GR124" s="21"/>
      <c r="GS124" s="21"/>
      <c r="GT124" s="21"/>
      <c r="GU124" s="21"/>
      <c r="GV124" s="21"/>
      <c r="GW124" s="21"/>
      <c r="GX124" s="21"/>
      <c r="GY124" s="168">
        <v>26221000</v>
      </c>
      <c r="GZ124" s="168">
        <v>24932000</v>
      </c>
      <c r="HA124" s="21"/>
      <c r="HB124" s="21"/>
      <c r="HC124" s="168">
        <v>17499000</v>
      </c>
      <c r="HD124" s="168">
        <v>20371000</v>
      </c>
      <c r="HE124" s="21"/>
      <c r="HF124" s="21"/>
      <c r="HG124" s="21"/>
      <c r="HH124" s="21"/>
      <c r="HI124" s="168">
        <v>8000</v>
      </c>
      <c r="HJ124" s="168">
        <v>5000</v>
      </c>
      <c r="HK124" s="168">
        <v>-18000</v>
      </c>
      <c r="HL124" s="168">
        <v>409000</v>
      </c>
      <c r="HM124" s="21"/>
      <c r="HN124" s="21"/>
      <c r="HO124" s="21"/>
      <c r="HP124" s="21"/>
      <c r="HQ124" s="21"/>
      <c r="HR124" s="21"/>
      <c r="HS124" s="21"/>
      <c r="HT124" s="21"/>
      <c r="HU124" s="168">
        <v>5775000</v>
      </c>
      <c r="HV124" s="168">
        <v>3391000</v>
      </c>
      <c r="HW124" s="21"/>
      <c r="HX124" s="21"/>
      <c r="HY124" s="168">
        <v>303000</v>
      </c>
      <c r="HZ124" s="168">
        <v>3000</v>
      </c>
      <c r="IA124" s="21"/>
      <c r="IB124" s="21"/>
      <c r="IC124" s="21"/>
      <c r="ID124" s="21"/>
      <c r="IE124" s="168">
        <v>1979000</v>
      </c>
      <c r="IF124" s="168">
        <v>2019000</v>
      </c>
      <c r="IG124" s="21"/>
      <c r="IH124" s="21"/>
      <c r="II124" s="21"/>
      <c r="IJ124" s="21"/>
      <c r="IK124" s="21"/>
      <c r="IL124" s="21"/>
      <c r="IM124" s="168">
        <v>-100000</v>
      </c>
      <c r="IN124" s="168">
        <v>-754000</v>
      </c>
      <c r="IO124" s="21"/>
      <c r="IP124" s="21"/>
      <c r="IQ124" s="168">
        <v>87000</v>
      </c>
      <c r="IR124" s="168">
        <v>32000</v>
      </c>
      <c r="IS124" s="21"/>
      <c r="IT124" s="21"/>
      <c r="IU124" s="168">
        <v>3538000</v>
      </c>
      <c r="IV124" s="168">
        <v>2491000</v>
      </c>
      <c r="IW124" s="168">
        <v>4642000</v>
      </c>
      <c r="IX124" s="168">
        <v>3043000</v>
      </c>
      <c r="IY124" s="168">
        <v>-988000</v>
      </c>
      <c r="IZ124" s="168">
        <v>-961000</v>
      </c>
      <c r="JA124" s="168">
        <v>860000</v>
      </c>
      <c r="JB124" s="168">
        <v>112000</v>
      </c>
      <c r="JC124" s="21"/>
      <c r="JD124" s="21"/>
      <c r="JE124" s="21"/>
      <c r="JF124" s="21"/>
      <c r="JG124" s="168">
        <v>26000</v>
      </c>
      <c r="JH124" s="168">
        <v>10000</v>
      </c>
      <c r="JI124" s="21"/>
      <c r="JJ124" s="21"/>
      <c r="JK124" s="21"/>
      <c r="JL124" s="21"/>
      <c r="JM124" s="168">
        <v>794000</v>
      </c>
      <c r="JN124" s="168">
        <v>-826000</v>
      </c>
      <c r="JO124" s="21"/>
      <c r="JP124" s="21"/>
      <c r="JQ124" s="21"/>
      <c r="JR124" s="21"/>
      <c r="JS124" s="21"/>
      <c r="JT124" s="21"/>
      <c r="JU124" s="21"/>
      <c r="JV124" s="21"/>
      <c r="JW124" s="168">
        <v>83637000</v>
      </c>
      <c r="JX124" s="168">
        <v>80983000</v>
      </c>
      <c r="JY124" s="21"/>
      <c r="JZ124" s="21"/>
      <c r="KA124" s="168">
        <v>75674000</v>
      </c>
      <c r="KB124" s="168">
        <v>73534000</v>
      </c>
      <c r="KC124" s="21"/>
      <c r="KD124" s="21"/>
      <c r="KE124" s="21"/>
      <c r="KF124" s="21"/>
      <c r="KG124" s="21"/>
      <c r="KH124" s="21"/>
      <c r="KI124" s="168">
        <v>7963000</v>
      </c>
      <c r="KJ124" s="168">
        <v>7449000</v>
      </c>
      <c r="KK124" s="21"/>
      <c r="KL124" s="21"/>
      <c r="KM124" s="21"/>
      <c r="KN124" s="21"/>
      <c r="KO124" s="21"/>
      <c r="KP124" s="21"/>
      <c r="KQ124" s="21"/>
      <c r="KR124" s="21"/>
      <c r="KS124" s="21"/>
      <c r="KT124" s="21"/>
      <c r="KU124" s="21"/>
      <c r="KV124" s="21"/>
      <c r="KW124" s="21"/>
      <c r="KX124" s="21"/>
      <c r="KY124" s="21"/>
      <c r="KZ124" s="21"/>
      <c r="LA124" s="168">
        <v>14670000</v>
      </c>
      <c r="LB124" s="168">
        <v>14670000</v>
      </c>
      <c r="LC124" s="21"/>
      <c r="LD124" s="21"/>
      <c r="LE124" s="21"/>
      <c r="LF124" s="21"/>
      <c r="LG124" s="21"/>
      <c r="LH124" s="21"/>
      <c r="LI124" s="168">
        <v>10222000</v>
      </c>
      <c r="LJ124" s="168">
        <v>12242000</v>
      </c>
      <c r="LK124" s="168">
        <v>14276000</v>
      </c>
      <c r="LL124" s="168">
        <v>10616000</v>
      </c>
      <c r="LM124" s="168">
        <v>577000</v>
      </c>
      <c r="LN124" s="168">
        <v>218000</v>
      </c>
      <c r="LO124" s="21"/>
      <c r="LP124" s="21"/>
      <c r="LQ124" s="21"/>
      <c r="LR124" s="21"/>
      <c r="LS124" s="21"/>
      <c r="LT124" s="21"/>
      <c r="LU124" s="21"/>
      <c r="LV124" s="21"/>
      <c r="LW124" s="21"/>
      <c r="LX124" s="21"/>
      <c r="LY124" s="21"/>
      <c r="LZ124" s="21"/>
      <c r="MA124" s="21"/>
      <c r="MB124" s="21"/>
      <c r="MC124" s="168">
        <v>31277000</v>
      </c>
      <c r="MD124" s="168">
        <v>27833000</v>
      </c>
      <c r="ME124" s="21"/>
      <c r="MF124" s="21"/>
      <c r="MG124" s="21"/>
      <c r="MH124" s="21"/>
      <c r="MI124" s="21"/>
      <c r="MJ124" s="21"/>
      <c r="MK124" s="21"/>
      <c r="ML124" s="21"/>
      <c r="MM124" s="21"/>
      <c r="MN124" s="21"/>
      <c r="MO124" s="21"/>
      <c r="MP124" s="21"/>
      <c r="MQ124" s="21"/>
      <c r="MR124" s="21"/>
      <c r="MS124" s="21"/>
      <c r="MT124" s="21"/>
      <c r="MU124" s="21"/>
      <c r="MV124" s="21"/>
      <c r="MW124" s="168">
        <v>7654000</v>
      </c>
      <c r="MX124" s="168">
        <v>4143000</v>
      </c>
      <c r="MY124" s="21"/>
      <c r="MZ124" s="21"/>
      <c r="NA124" s="21"/>
      <c r="NB124" s="21"/>
      <c r="NC124" s="21"/>
      <c r="ND124" s="21"/>
      <c r="NE124" s="21"/>
      <c r="NF124" s="21"/>
      <c r="NG124" s="21"/>
      <c r="NH124" s="21"/>
      <c r="NI124" s="21"/>
      <c r="NJ124" s="21"/>
      <c r="NK124" s="21"/>
      <c r="NL124" s="21"/>
      <c r="NM124" s="168">
        <v>58502000</v>
      </c>
      <c r="NN124" s="168">
        <v>56048000</v>
      </c>
      <c r="NO124" s="168">
        <v>85193000</v>
      </c>
      <c r="NP124" s="168">
        <v>79195000</v>
      </c>
      <c r="NQ124" s="168" t="s">
        <v>858</v>
      </c>
      <c r="NR124" s="168" t="s">
        <v>769</v>
      </c>
      <c r="NS124" s="168" t="s">
        <v>770</v>
      </c>
      <c r="NT124" s="168" t="s">
        <v>771</v>
      </c>
      <c r="NU124" s="168">
        <v>802</v>
      </c>
      <c r="NV124" s="168" t="s">
        <v>2104</v>
      </c>
      <c r="NW124" s="168" t="s">
        <v>28</v>
      </c>
      <c r="NX124" s="168" t="s">
        <v>25</v>
      </c>
      <c r="NY124" s="169">
        <v>42825</v>
      </c>
      <c r="NZ124" s="169">
        <v>42460</v>
      </c>
      <c r="OA124" s="169">
        <v>43074</v>
      </c>
      <c r="OB124" s="168" t="s">
        <v>859</v>
      </c>
      <c r="OC124" s="168">
        <v>12</v>
      </c>
      <c r="OD124" s="168" t="s">
        <v>2105</v>
      </c>
      <c r="OE124" s="168" t="s">
        <v>2130</v>
      </c>
      <c r="OF124" s="168" t="s">
        <v>2131</v>
      </c>
      <c r="OG124" s="168" t="s">
        <v>1822</v>
      </c>
      <c r="OH124" s="168" t="s">
        <v>857</v>
      </c>
      <c r="OI124" s="168" t="s">
        <v>766</v>
      </c>
      <c r="OJ124" s="168" t="s">
        <v>3240</v>
      </c>
      <c r="OK124" s="168" t="s">
        <v>767</v>
      </c>
    </row>
    <row r="125" spans="1:401" x14ac:dyDescent="0.2">
      <c r="A125" s="170" t="str">
        <f>Liste[[#This Row],[Siren]]</f>
        <v>954507943</v>
      </c>
      <c r="B125" s="198" t="str">
        <f>Liste[[#This Row],[Dénomination]]&amp;" - comptes "&amp;YEAR(Liste[[#This Row],[Date de cloture de l''exercice]])</f>
        <v>AGUETTANT SANTE - comptes 2017</v>
      </c>
      <c r="C125" s="21"/>
      <c r="D125" s="21"/>
      <c r="E125" s="21"/>
      <c r="F125" s="168">
        <v>3758000</v>
      </c>
      <c r="G125" s="168">
        <v>7741000</v>
      </c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168">
        <v>200000</v>
      </c>
      <c r="AM125" s="168">
        <v>105000</v>
      </c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168">
        <v>27030000</v>
      </c>
      <c r="BY125" s="168">
        <v>18914000</v>
      </c>
      <c r="BZ125" s="21"/>
      <c r="CA125" s="21"/>
      <c r="CB125" s="21"/>
      <c r="CC125" s="21"/>
      <c r="CD125" s="21"/>
      <c r="CE125" s="168">
        <v>6157000</v>
      </c>
      <c r="CF125" s="168">
        <v>6157000</v>
      </c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168">
        <v>77249000</v>
      </c>
      <c r="EM125" s="168">
        <v>75688000</v>
      </c>
      <c r="EN125" s="21"/>
      <c r="EO125" s="21"/>
      <c r="EP125" s="168">
        <v>79650000</v>
      </c>
      <c r="EQ125" s="168">
        <v>67920000</v>
      </c>
      <c r="ER125" s="21"/>
      <c r="ES125" s="21"/>
      <c r="ET125" s="168">
        <v>156899000</v>
      </c>
      <c r="EU125" s="168">
        <v>143608000</v>
      </c>
      <c r="EV125" s="21"/>
      <c r="EW125" s="21"/>
      <c r="EX125" s="21"/>
      <c r="EY125" s="21"/>
      <c r="EZ125" s="21"/>
      <c r="FA125" s="21"/>
      <c r="FB125" s="168">
        <v>822000</v>
      </c>
      <c r="FC125" s="168">
        <v>778000</v>
      </c>
      <c r="FD125" s="21"/>
      <c r="FE125" s="21"/>
      <c r="FF125" s="168">
        <v>6648000</v>
      </c>
      <c r="FG125" s="168">
        <v>3550000</v>
      </c>
      <c r="FH125" s="21"/>
      <c r="FI125" s="168">
        <v>-2793000</v>
      </c>
      <c r="FJ125" s="168">
        <v>-3113000</v>
      </c>
      <c r="FK125" s="168">
        <v>9838000</v>
      </c>
      <c r="FL125" s="168">
        <v>6920000</v>
      </c>
      <c r="FM125" s="21"/>
      <c r="FN125" s="21"/>
      <c r="FO125" s="21"/>
      <c r="FP125" s="21"/>
      <c r="FQ125" s="21"/>
      <c r="FR125" s="168">
        <v>5000</v>
      </c>
      <c r="FS125" s="21"/>
      <c r="FT125" s="21"/>
      <c r="FU125" s="168">
        <v>1103000</v>
      </c>
      <c r="FV125" s="168">
        <v>738000</v>
      </c>
      <c r="FW125" s="168">
        <v>3272000</v>
      </c>
      <c r="FX125" s="168">
        <v>1629000</v>
      </c>
      <c r="FY125" s="21"/>
      <c r="FZ125" s="21"/>
      <c r="GA125" s="21"/>
      <c r="GB125" s="21"/>
      <c r="GC125" s="21"/>
      <c r="GD125" s="21"/>
      <c r="GE125" s="21"/>
      <c r="GF125" s="21"/>
      <c r="GG125" s="21"/>
      <c r="GH125" s="21"/>
      <c r="GI125" s="21"/>
      <c r="GJ125" s="21"/>
      <c r="GK125" s="21"/>
      <c r="GL125" s="21"/>
      <c r="GM125" s="168">
        <v>9838000</v>
      </c>
      <c r="GN125" s="168">
        <v>6920000</v>
      </c>
      <c r="GO125" s="168">
        <v>9838000</v>
      </c>
      <c r="GP125" s="168">
        <v>7314000</v>
      </c>
      <c r="GQ125" s="21"/>
      <c r="GR125" s="21"/>
      <c r="GS125" s="21"/>
      <c r="GT125" s="21"/>
      <c r="GU125" s="168">
        <v>7986000</v>
      </c>
      <c r="GV125" s="168">
        <v>5713000</v>
      </c>
      <c r="GW125" s="168">
        <v>5193000</v>
      </c>
      <c r="GX125" s="168">
        <v>2600000</v>
      </c>
      <c r="GY125" s="21"/>
      <c r="GZ125" s="21"/>
      <c r="HA125" s="21"/>
      <c r="HB125" s="21"/>
      <c r="HC125" s="21"/>
      <c r="HD125" s="21"/>
      <c r="HE125" s="168">
        <v>29810000</v>
      </c>
      <c r="HF125" s="168">
        <v>26172000</v>
      </c>
      <c r="HG125" s="21"/>
      <c r="HH125" s="21"/>
      <c r="HI125" s="168">
        <v>8700000</v>
      </c>
      <c r="HJ125" s="168">
        <v>10555000</v>
      </c>
      <c r="HK125" s="21"/>
      <c r="HL125" s="21"/>
      <c r="HM125" s="21"/>
      <c r="HN125" s="21"/>
      <c r="HO125" s="21"/>
      <c r="HP125" s="21"/>
      <c r="HQ125" s="21"/>
      <c r="HR125" s="21"/>
      <c r="HS125" s="21"/>
      <c r="HT125" s="21"/>
      <c r="HU125" s="21"/>
      <c r="HV125" s="21"/>
      <c r="HW125" s="21"/>
      <c r="HX125" s="21"/>
      <c r="HY125" s="21"/>
      <c r="HZ125" s="21"/>
      <c r="IA125" s="21"/>
      <c r="IB125" s="21"/>
      <c r="IC125" s="21"/>
      <c r="ID125" s="21"/>
      <c r="IE125" s="168">
        <v>3063000</v>
      </c>
      <c r="IF125" s="168">
        <v>3218000</v>
      </c>
      <c r="IG125" s="21"/>
      <c r="IH125" s="21"/>
      <c r="II125" s="21"/>
      <c r="IJ125" s="21"/>
      <c r="IK125" s="21"/>
      <c r="IL125" s="21"/>
      <c r="IM125" s="21"/>
      <c r="IN125" s="21"/>
      <c r="IO125" s="21"/>
      <c r="IP125" s="21"/>
      <c r="IQ125" s="21"/>
      <c r="IR125" s="21"/>
      <c r="IS125" s="21"/>
      <c r="IT125" s="21"/>
      <c r="IU125" s="168">
        <v>17006000</v>
      </c>
      <c r="IV125" s="168">
        <v>12793000</v>
      </c>
      <c r="IW125" s="168">
        <v>17887000</v>
      </c>
      <c r="IX125" s="168">
        <v>13871000</v>
      </c>
      <c r="IY125" s="168">
        <v>-881000</v>
      </c>
      <c r="IZ125" s="168">
        <v>-1078000</v>
      </c>
      <c r="JA125" s="21"/>
      <c r="JB125" s="21"/>
      <c r="JC125" s="21"/>
      <c r="JD125" s="21"/>
      <c r="JE125" s="21"/>
      <c r="JF125" s="21"/>
      <c r="JG125" s="21"/>
      <c r="JH125" s="21"/>
      <c r="JI125" s="168">
        <v>111357000</v>
      </c>
      <c r="JJ125" s="168">
        <v>103780000</v>
      </c>
      <c r="JK125" s="168">
        <v>1397000</v>
      </c>
      <c r="JL125" s="168">
        <v>1380000</v>
      </c>
      <c r="JM125" s="168">
        <v>129244000</v>
      </c>
      <c r="JN125" s="168">
        <v>117652000</v>
      </c>
      <c r="JO125" s="168">
        <v>516000</v>
      </c>
      <c r="JP125" s="168">
        <v>302000</v>
      </c>
      <c r="JQ125" s="21"/>
      <c r="JR125" s="21"/>
      <c r="JS125" s="21"/>
      <c r="JT125" s="21"/>
      <c r="JU125" s="21"/>
      <c r="JV125" s="21"/>
      <c r="JW125" s="168">
        <v>120545000</v>
      </c>
      <c r="JX125" s="168">
        <v>107097000</v>
      </c>
      <c r="JY125" s="21"/>
      <c r="JZ125" s="21"/>
      <c r="KA125" s="21"/>
      <c r="KB125" s="21"/>
      <c r="KC125" s="21"/>
      <c r="KD125" s="21"/>
      <c r="KE125" s="21"/>
      <c r="KF125" s="21"/>
      <c r="KG125" s="21"/>
      <c r="KH125" s="21"/>
      <c r="KI125" s="21"/>
      <c r="KJ125" s="21"/>
      <c r="KK125" s="21"/>
      <c r="KL125" s="21"/>
      <c r="KM125" s="21"/>
      <c r="KN125" s="21"/>
      <c r="KO125" s="21"/>
      <c r="KP125" s="21"/>
      <c r="KQ125" s="168">
        <v>14859000</v>
      </c>
      <c r="KR125" s="168">
        <v>13719000</v>
      </c>
      <c r="KS125" s="21"/>
      <c r="KT125" s="21"/>
      <c r="KU125" s="168">
        <v>41167000</v>
      </c>
      <c r="KV125" s="168">
        <v>35759000</v>
      </c>
      <c r="KW125" s="21"/>
      <c r="KX125" s="21"/>
      <c r="KY125" s="168">
        <v>902000</v>
      </c>
      <c r="KZ125" s="168">
        <v>1278000</v>
      </c>
      <c r="LA125" s="168">
        <v>4447000</v>
      </c>
      <c r="LB125" s="168">
        <v>4447000</v>
      </c>
      <c r="LC125" s="21"/>
      <c r="LD125" s="21"/>
      <c r="LE125" s="21"/>
      <c r="LF125" s="21"/>
      <c r="LG125" s="21"/>
      <c r="LH125" s="21"/>
      <c r="LI125" s="21"/>
      <c r="LJ125" s="21"/>
      <c r="LK125" s="168">
        <v>15105000</v>
      </c>
      <c r="LL125" s="168">
        <v>15352000</v>
      </c>
      <c r="LM125" s="21"/>
      <c r="LN125" s="21"/>
      <c r="LO125" s="21"/>
      <c r="LP125" s="21"/>
      <c r="LQ125" s="21"/>
      <c r="LR125" s="21"/>
      <c r="LS125" s="21"/>
      <c r="LT125" s="21"/>
      <c r="LU125" s="168">
        <v>-537000</v>
      </c>
      <c r="LV125" s="168">
        <v>-425000</v>
      </c>
      <c r="LW125" s="21"/>
      <c r="LX125" s="21"/>
      <c r="LY125" s="21"/>
      <c r="LZ125" s="21"/>
      <c r="MA125" s="21"/>
      <c r="MB125" s="21"/>
      <c r="MC125" s="168">
        <v>58750000</v>
      </c>
      <c r="MD125" s="168">
        <v>54509000</v>
      </c>
      <c r="ME125" s="21"/>
      <c r="MF125" s="21"/>
      <c r="MG125" s="168">
        <v>3303000</v>
      </c>
      <c r="MH125" s="168">
        <v>2200000</v>
      </c>
      <c r="MI125" s="21"/>
      <c r="MJ125" s="21"/>
      <c r="MK125" s="21"/>
      <c r="ML125" s="21"/>
      <c r="MM125" s="21"/>
      <c r="MN125" s="21"/>
      <c r="MO125" s="21"/>
      <c r="MP125" s="21"/>
      <c r="MQ125" s="21"/>
      <c r="MR125" s="21"/>
      <c r="MS125" s="21"/>
      <c r="MT125" s="21"/>
      <c r="MU125" s="21"/>
      <c r="MV125" s="21"/>
      <c r="MW125" s="21"/>
      <c r="MX125" s="21"/>
      <c r="MY125" s="21"/>
      <c r="MZ125" s="21"/>
      <c r="NA125" s="21"/>
      <c r="NB125" s="21"/>
      <c r="NC125" s="168">
        <v>9838000</v>
      </c>
      <c r="ND125" s="168">
        <v>6920000</v>
      </c>
      <c r="NE125" s="168">
        <v>439000</v>
      </c>
      <c r="NF125" s="168">
        <v>537000</v>
      </c>
      <c r="NG125" s="21"/>
      <c r="NH125" s="21"/>
      <c r="NI125" s="21"/>
      <c r="NJ125" s="21"/>
      <c r="NK125" s="21"/>
      <c r="NL125" s="21"/>
      <c r="NM125" s="21"/>
      <c r="NN125" s="21"/>
      <c r="NO125" s="168">
        <v>156899000</v>
      </c>
      <c r="NP125" s="168">
        <v>143608000</v>
      </c>
      <c r="NQ125" s="168" t="s">
        <v>874</v>
      </c>
      <c r="NR125" s="168" t="s">
        <v>797</v>
      </c>
      <c r="NS125" s="168" t="s">
        <v>770</v>
      </c>
      <c r="NT125" s="168" t="s">
        <v>771</v>
      </c>
      <c r="NU125" s="168">
        <v>6901</v>
      </c>
      <c r="NV125" s="168" t="s">
        <v>2104</v>
      </c>
      <c r="NW125" s="168" t="s">
        <v>28</v>
      </c>
      <c r="NX125" s="168" t="s">
        <v>25</v>
      </c>
      <c r="NY125" s="169">
        <v>42825</v>
      </c>
      <c r="NZ125" s="169">
        <v>42460</v>
      </c>
      <c r="OA125" s="169">
        <v>42940</v>
      </c>
      <c r="OB125" s="168" t="s">
        <v>875</v>
      </c>
      <c r="OC125" s="168">
        <v>12</v>
      </c>
      <c r="OD125" s="168" t="s">
        <v>2105</v>
      </c>
      <c r="OE125" s="168" t="s">
        <v>876</v>
      </c>
      <c r="OF125" s="168" t="s">
        <v>2138</v>
      </c>
      <c r="OG125" s="168" t="s">
        <v>1825</v>
      </c>
      <c r="OH125" s="168" t="s">
        <v>819</v>
      </c>
      <c r="OI125" s="168" t="s">
        <v>766</v>
      </c>
      <c r="OJ125" s="168" t="s">
        <v>3240</v>
      </c>
      <c r="OK125" s="168" t="s">
        <v>796</v>
      </c>
    </row>
    <row r="126" spans="1:401" x14ac:dyDescent="0.2">
      <c r="A126" s="170" t="str">
        <f>Liste[[#This Row],[Siren]]</f>
        <v>333903128</v>
      </c>
      <c r="B126" s="198" t="str">
        <f>Liste[[#This Row],[Dénomination]]&amp;" - comptes "&amp;YEAR(Liste[[#This Row],[Date de cloture de l''exercice]])</f>
        <v>D.FI - comptes 2017</v>
      </c>
      <c r="C126" s="21"/>
      <c r="D126" s="21"/>
      <c r="E126" s="21"/>
      <c r="F126" s="21"/>
      <c r="G126" s="21"/>
      <c r="H126" s="21"/>
      <c r="I126" s="168">
        <v>1264669</v>
      </c>
      <c r="J126" s="168">
        <v>303369</v>
      </c>
      <c r="K126" s="168">
        <v>317955</v>
      </c>
      <c r="L126" s="168">
        <v>1568038</v>
      </c>
      <c r="M126" s="21"/>
      <c r="N126" s="168">
        <v>202970</v>
      </c>
      <c r="O126" s="168">
        <v>213827</v>
      </c>
      <c r="P126" s="168">
        <v>202970</v>
      </c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168">
        <v>570478</v>
      </c>
      <c r="AM126" s="168">
        <v>292212</v>
      </c>
      <c r="AN126" s="168">
        <v>570478</v>
      </c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168">
        <v>2093077</v>
      </c>
      <c r="BA126" s="168">
        <v>2093833</v>
      </c>
      <c r="BB126" s="168">
        <v>2093077</v>
      </c>
      <c r="BC126" s="168">
        <v>18427</v>
      </c>
      <c r="BD126" s="168">
        <v>14939069</v>
      </c>
      <c r="BE126" s="168">
        <v>18294238</v>
      </c>
      <c r="BF126" s="168">
        <v>14957496</v>
      </c>
      <c r="BG126" s="168">
        <v>461165</v>
      </c>
      <c r="BH126" s="168">
        <v>45681</v>
      </c>
      <c r="BI126" s="168">
        <v>69035</v>
      </c>
      <c r="BJ126" s="168">
        <v>506846</v>
      </c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168">
        <v>4042400</v>
      </c>
      <c r="BY126" s="168">
        <v>4456428</v>
      </c>
      <c r="BZ126" s="168">
        <v>4042400</v>
      </c>
      <c r="CA126" s="21"/>
      <c r="CB126" s="21"/>
      <c r="CC126" s="21"/>
      <c r="CD126" s="168">
        <v>5318785</v>
      </c>
      <c r="CE126" s="168">
        <v>1497928</v>
      </c>
      <c r="CF126" s="168">
        <v>1497929</v>
      </c>
      <c r="CG126" s="168">
        <v>6816713</v>
      </c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168">
        <v>1272259</v>
      </c>
      <c r="DG126" s="168">
        <v>582241</v>
      </c>
      <c r="DH126" s="168">
        <v>356935</v>
      </c>
      <c r="DI126" s="168">
        <v>1854500</v>
      </c>
      <c r="DJ126" s="168">
        <v>11384</v>
      </c>
      <c r="DK126" s="168">
        <v>7483</v>
      </c>
      <c r="DL126" s="168">
        <v>242227</v>
      </c>
      <c r="DM126" s="168">
        <v>18867</v>
      </c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168">
        <v>10249940</v>
      </c>
      <c r="EL126" s="168">
        <v>4126226</v>
      </c>
      <c r="EM126" s="168">
        <v>3150856</v>
      </c>
      <c r="EN126" s="168">
        <v>14376166</v>
      </c>
      <c r="EO126" s="168">
        <v>29811</v>
      </c>
      <c r="EP126" s="168">
        <v>23409856</v>
      </c>
      <c r="EQ126" s="168">
        <v>27280740</v>
      </c>
      <c r="ER126" s="168">
        <v>23439667</v>
      </c>
      <c r="ES126" s="168">
        <v>10279751</v>
      </c>
      <c r="ET126" s="168">
        <v>27536082</v>
      </c>
      <c r="EU126" s="168">
        <v>30431596</v>
      </c>
      <c r="EV126" s="168">
        <v>37815833</v>
      </c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168">
        <v>-622889</v>
      </c>
      <c r="FJ126" s="168">
        <v>-429434</v>
      </c>
      <c r="FK126" s="21"/>
      <c r="FL126" s="21"/>
      <c r="FM126" s="168">
        <v>861474</v>
      </c>
      <c r="FN126" s="168">
        <v>510500</v>
      </c>
      <c r="FO126" s="21"/>
      <c r="FP126" s="21"/>
      <c r="FQ126" s="21"/>
      <c r="FR126" s="168">
        <v>522166</v>
      </c>
      <c r="FS126" s="168">
        <v>164875</v>
      </c>
      <c r="FT126" s="168">
        <v>60000</v>
      </c>
      <c r="FU126" s="168">
        <v>237363</v>
      </c>
      <c r="FV126" s="168">
        <v>-76621</v>
      </c>
      <c r="FW126" s="168">
        <v>103137</v>
      </c>
      <c r="FX126" s="21"/>
      <c r="FY126" s="21"/>
      <c r="FZ126" s="21"/>
      <c r="GA126" s="21"/>
      <c r="GB126" s="21"/>
      <c r="GC126" s="168">
        <v>213761</v>
      </c>
      <c r="GD126" s="168">
        <v>81602</v>
      </c>
      <c r="GE126" s="21"/>
      <c r="GF126" s="21"/>
      <c r="GG126" s="21"/>
      <c r="GH126" s="21"/>
      <c r="GI126" s="21"/>
      <c r="GJ126" s="21"/>
      <c r="GK126" s="168">
        <v>60000</v>
      </c>
      <c r="GL126" s="21"/>
      <c r="GM126" s="168">
        <v>607331</v>
      </c>
      <c r="GN126" s="168">
        <v>604590</v>
      </c>
      <c r="GO126" s="168">
        <v>607331</v>
      </c>
      <c r="GP126" s="168">
        <v>1128883</v>
      </c>
      <c r="GQ126" s="21"/>
      <c r="GR126" s="21"/>
      <c r="GS126" s="168">
        <v>607331</v>
      </c>
      <c r="GT126" s="168">
        <v>604590</v>
      </c>
      <c r="GU126" s="168">
        <v>1032533</v>
      </c>
      <c r="GV126" s="168">
        <v>601592</v>
      </c>
      <c r="GW126" s="168">
        <v>409644</v>
      </c>
      <c r="GX126" s="168">
        <v>172158</v>
      </c>
      <c r="GY126" s="168">
        <v>45090031</v>
      </c>
      <c r="GZ126" s="168">
        <v>57342135</v>
      </c>
      <c r="HA126" s="21"/>
      <c r="HB126" s="21"/>
      <c r="HC126" s="168">
        <v>2195024</v>
      </c>
      <c r="HD126" s="168">
        <v>2508060</v>
      </c>
      <c r="HE126" s="168">
        <v>13209</v>
      </c>
      <c r="HF126" s="168">
        <v>610</v>
      </c>
      <c r="HG126" s="21"/>
      <c r="HH126" s="21"/>
      <c r="HI126" s="168">
        <v>28112</v>
      </c>
      <c r="HJ126" s="168">
        <v>249</v>
      </c>
      <c r="HK126" s="21"/>
      <c r="HL126" s="21"/>
      <c r="HM126" s="21"/>
      <c r="HN126" s="21"/>
      <c r="HO126" s="168">
        <v>5773284</v>
      </c>
      <c r="HP126" s="168">
        <v>6675906</v>
      </c>
      <c r="HQ126" s="21"/>
      <c r="HR126" s="21"/>
      <c r="HS126" s="21"/>
      <c r="HT126" s="21"/>
      <c r="HU126" s="21"/>
      <c r="HV126" s="21"/>
      <c r="HW126" s="21"/>
      <c r="HX126" s="21"/>
      <c r="HY126" s="21"/>
      <c r="HZ126" s="21"/>
      <c r="IA126" s="21"/>
      <c r="IB126" s="21"/>
      <c r="IC126" s="21"/>
      <c r="ID126" s="21"/>
      <c r="IE126" s="168">
        <v>1047871</v>
      </c>
      <c r="IF126" s="168">
        <v>1096316</v>
      </c>
      <c r="IG126" s="21"/>
      <c r="IH126" s="21"/>
      <c r="II126" s="21"/>
      <c r="IJ126" s="21"/>
      <c r="IK126" s="168">
        <v>286483</v>
      </c>
      <c r="IL126" s="21"/>
      <c r="IM126" s="21"/>
      <c r="IN126" s="21"/>
      <c r="IO126" s="21"/>
      <c r="IP126" s="21"/>
      <c r="IQ126" s="21"/>
      <c r="IR126" s="21"/>
      <c r="IS126" s="21"/>
      <c r="IT126" s="21"/>
      <c r="IU126" s="168">
        <v>1570720</v>
      </c>
      <c r="IV126" s="168">
        <v>1481695</v>
      </c>
      <c r="IW126" s="168">
        <v>1598620</v>
      </c>
      <c r="IX126" s="168">
        <v>1478895</v>
      </c>
      <c r="IY126" s="168">
        <v>-27900</v>
      </c>
      <c r="IZ126" s="168">
        <v>2800</v>
      </c>
      <c r="JA126" s="168">
        <v>391860</v>
      </c>
      <c r="JB126" s="168">
        <v>546413</v>
      </c>
      <c r="JC126" s="21"/>
      <c r="JD126" s="21"/>
      <c r="JE126" s="168">
        <v>12875330</v>
      </c>
      <c r="JF126" s="168">
        <v>14614736</v>
      </c>
      <c r="JG126" s="168">
        <v>23912</v>
      </c>
      <c r="JH126" s="168">
        <v>5578</v>
      </c>
      <c r="JI126" s="168">
        <v>75548164</v>
      </c>
      <c r="JJ126" s="168">
        <v>89258282</v>
      </c>
      <c r="JK126" s="168">
        <v>83460</v>
      </c>
      <c r="JL126" s="168">
        <v>74752</v>
      </c>
      <c r="JM126" s="168">
        <v>77146784</v>
      </c>
      <c r="JN126" s="168">
        <v>90737177</v>
      </c>
      <c r="JO126" s="168">
        <v>55560</v>
      </c>
      <c r="JP126" s="168">
        <v>77552</v>
      </c>
      <c r="JQ126" s="168">
        <v>232844</v>
      </c>
      <c r="JR126" s="168">
        <v>226424</v>
      </c>
      <c r="JS126" s="21"/>
      <c r="JT126" s="21"/>
      <c r="JU126" s="21"/>
      <c r="JV126" s="21"/>
      <c r="JW126" s="168">
        <v>76416417</v>
      </c>
      <c r="JX126" s="168">
        <v>90184936</v>
      </c>
      <c r="JY126" s="21"/>
      <c r="JZ126" s="21"/>
      <c r="KA126" s="21"/>
      <c r="KB126" s="21"/>
      <c r="KC126" s="21"/>
      <c r="KD126" s="21"/>
      <c r="KE126" s="168">
        <v>21775014</v>
      </c>
      <c r="KF126" s="168">
        <v>20691715</v>
      </c>
      <c r="KG126" s="21"/>
      <c r="KH126" s="21"/>
      <c r="KI126" s="168">
        <v>54567905</v>
      </c>
      <c r="KJ126" s="168">
        <v>69360603</v>
      </c>
      <c r="KK126" s="21"/>
      <c r="KL126" s="21"/>
      <c r="KM126" s="21"/>
      <c r="KN126" s="21"/>
      <c r="KO126" s="21"/>
      <c r="KP126" s="21"/>
      <c r="KQ126" s="168">
        <v>1633956</v>
      </c>
      <c r="KR126" s="168">
        <v>734042</v>
      </c>
      <c r="KS126" s="21"/>
      <c r="KT126" s="21"/>
      <c r="KU126" s="21"/>
      <c r="KV126" s="21"/>
      <c r="KW126" s="21"/>
      <c r="KX126" s="21"/>
      <c r="KY126" s="21"/>
      <c r="KZ126" s="21"/>
      <c r="LA126" s="168">
        <v>1200465</v>
      </c>
      <c r="LB126" s="168">
        <v>1388025</v>
      </c>
      <c r="LC126" s="21"/>
      <c r="LD126" s="21"/>
      <c r="LE126" s="21"/>
      <c r="LF126" s="21"/>
      <c r="LG126" s="21"/>
      <c r="LH126" s="21"/>
      <c r="LI126" s="168">
        <v>4124805</v>
      </c>
      <c r="LJ126" s="168">
        <v>4848027</v>
      </c>
      <c r="LK126" s="21"/>
      <c r="LL126" s="21"/>
      <c r="LM126" s="168">
        <v>12650518</v>
      </c>
      <c r="LN126" s="168">
        <v>15114758</v>
      </c>
      <c r="LO126" s="21"/>
      <c r="LP126" s="21"/>
      <c r="LQ126" s="21"/>
      <c r="LR126" s="21"/>
      <c r="LS126" s="21"/>
      <c r="LT126" s="21"/>
      <c r="LU126" s="21"/>
      <c r="LV126" s="21"/>
      <c r="LW126" s="21"/>
      <c r="LX126" s="21"/>
      <c r="LY126" s="21"/>
      <c r="LZ126" s="21"/>
      <c r="MA126" s="168">
        <v>708096</v>
      </c>
      <c r="MB126" s="168">
        <v>856742</v>
      </c>
      <c r="MC126" s="168">
        <v>12475</v>
      </c>
      <c r="MD126" s="168">
        <v>1071814</v>
      </c>
      <c r="ME126" s="21"/>
      <c r="MF126" s="21"/>
      <c r="MG126" s="21"/>
      <c r="MH126" s="21"/>
      <c r="MI126" s="21"/>
      <c r="MJ126" s="21"/>
      <c r="MK126" s="21"/>
      <c r="ML126" s="21"/>
      <c r="MM126" s="168">
        <v>1276230</v>
      </c>
      <c r="MN126" s="168">
        <v>1094631</v>
      </c>
      <c r="MO126" s="168">
        <v>470481</v>
      </c>
      <c r="MP126" s="168">
        <v>497551</v>
      </c>
      <c r="MQ126" s="168">
        <v>224875</v>
      </c>
      <c r="MR126" s="168">
        <v>60000</v>
      </c>
      <c r="MS126" s="21"/>
      <c r="MT126" s="21"/>
      <c r="MU126" s="21"/>
      <c r="MV126" s="21"/>
      <c r="MW126" s="21"/>
      <c r="MX126" s="21"/>
      <c r="MY126" s="21"/>
      <c r="MZ126" s="21"/>
      <c r="NA126" s="21"/>
      <c r="NB126" s="21"/>
      <c r="NC126" s="168">
        <v>607331</v>
      </c>
      <c r="ND126" s="168">
        <v>604590</v>
      </c>
      <c r="NE126" s="21"/>
      <c r="NF126" s="21"/>
      <c r="NG126" s="168">
        <v>5026081</v>
      </c>
      <c r="NH126" s="168">
        <v>5500309</v>
      </c>
      <c r="NI126" s="21"/>
      <c r="NJ126" s="21"/>
      <c r="NK126" s="21"/>
      <c r="NL126" s="21"/>
      <c r="NM126" s="168">
        <v>21814645</v>
      </c>
      <c r="NN126" s="168">
        <v>24373736</v>
      </c>
      <c r="NO126" s="168">
        <v>27536082</v>
      </c>
      <c r="NP126" s="168">
        <v>30431596</v>
      </c>
      <c r="NQ126" s="168" t="s">
        <v>886</v>
      </c>
      <c r="NR126" s="168" t="s">
        <v>887</v>
      </c>
      <c r="NS126" s="168" t="s">
        <v>770</v>
      </c>
      <c r="NT126" s="168" t="s">
        <v>771</v>
      </c>
      <c r="NU126" s="168">
        <v>9201</v>
      </c>
      <c r="NV126" s="168" t="s">
        <v>2104</v>
      </c>
      <c r="NW126" s="168" t="s">
        <v>28</v>
      </c>
      <c r="NX126" s="168" t="s">
        <v>25</v>
      </c>
      <c r="NY126" s="169">
        <v>42825</v>
      </c>
      <c r="NZ126" s="169">
        <v>42460</v>
      </c>
      <c r="OA126" s="169">
        <v>42957</v>
      </c>
      <c r="OB126" s="168" t="s">
        <v>888</v>
      </c>
      <c r="OC126" s="168">
        <v>12</v>
      </c>
      <c r="OD126" s="168" t="s">
        <v>2105</v>
      </c>
      <c r="OE126" s="168" t="s">
        <v>2143</v>
      </c>
      <c r="OF126" s="168" t="s">
        <v>2144</v>
      </c>
      <c r="OG126" s="168" t="s">
        <v>1827</v>
      </c>
      <c r="OH126" s="168" t="s">
        <v>777</v>
      </c>
      <c r="OI126" s="168" t="s">
        <v>766</v>
      </c>
      <c r="OJ126" s="168" t="s">
        <v>3240</v>
      </c>
      <c r="OK126" s="168" t="s">
        <v>885</v>
      </c>
    </row>
    <row r="127" spans="1:401" x14ac:dyDescent="0.2">
      <c r="A127" s="170" t="str">
        <f>Liste[[#This Row],[Siren]]</f>
        <v>411290174</v>
      </c>
      <c r="B127" s="198" t="str">
        <f>Liste[[#This Row],[Dénomination]]&amp;" - comptes "&amp;YEAR(Liste[[#This Row],[Date de cloture de l''exercice]])</f>
        <v>SAS CYCHAGA B. - comptes 2017</v>
      </c>
      <c r="C127" s="21"/>
      <c r="D127" s="21"/>
      <c r="E127" s="21"/>
      <c r="F127" s="168">
        <v>2262000</v>
      </c>
      <c r="G127" s="168">
        <v>2132000</v>
      </c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168">
        <v>18893000</v>
      </c>
      <c r="BE127" s="168">
        <v>16837000</v>
      </c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168">
        <v>5456000</v>
      </c>
      <c r="BY127" s="168">
        <v>1912000</v>
      </c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168">
        <v>19215000</v>
      </c>
      <c r="EM127" s="168">
        <v>19742000</v>
      </c>
      <c r="EN127" s="21"/>
      <c r="EO127" s="21"/>
      <c r="EP127" s="168">
        <v>51068000</v>
      </c>
      <c r="EQ127" s="168">
        <v>47309000</v>
      </c>
      <c r="ER127" s="21"/>
      <c r="ES127" s="21"/>
      <c r="ET127" s="168">
        <v>70283000</v>
      </c>
      <c r="EU127" s="168">
        <v>67051000</v>
      </c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  <c r="FQ127" s="21"/>
      <c r="FR127" s="21"/>
      <c r="FS127" s="21"/>
      <c r="FT127" s="21"/>
      <c r="FU127" s="168">
        <v>119000</v>
      </c>
      <c r="FV127" s="168">
        <v>-37000</v>
      </c>
      <c r="FW127" s="168">
        <v>-434000</v>
      </c>
      <c r="FX127" s="168">
        <v>-603000</v>
      </c>
      <c r="FY127" s="21"/>
      <c r="FZ127" s="21"/>
      <c r="GA127" s="21"/>
      <c r="GB127" s="21"/>
      <c r="GC127" s="21"/>
      <c r="GD127" s="21"/>
      <c r="GE127" s="21"/>
      <c r="GF127" s="21"/>
      <c r="GG127" s="21"/>
      <c r="GH127" s="21"/>
      <c r="GI127" s="21"/>
      <c r="GJ127" s="21"/>
      <c r="GK127" s="21"/>
      <c r="GL127" s="21"/>
      <c r="GM127" s="168">
        <v>1636000</v>
      </c>
      <c r="GN127" s="168">
        <v>1736000</v>
      </c>
      <c r="GO127" s="21"/>
      <c r="GP127" s="21"/>
      <c r="GQ127" s="21"/>
      <c r="GR127" s="21"/>
      <c r="GS127" s="21"/>
      <c r="GT127" s="21"/>
      <c r="GU127" s="21"/>
      <c r="GV127" s="21"/>
      <c r="GW127" s="21"/>
      <c r="GX127" s="21"/>
      <c r="GY127" s="21"/>
      <c r="GZ127" s="21"/>
      <c r="HA127" s="21"/>
      <c r="HB127" s="21"/>
      <c r="HC127" s="21"/>
      <c r="HD127" s="21"/>
      <c r="HE127" s="168">
        <v>16529000</v>
      </c>
      <c r="HF127" s="168">
        <v>17154000</v>
      </c>
      <c r="HG127" s="21"/>
      <c r="HH127" s="21"/>
      <c r="HI127" s="168">
        <v>82000</v>
      </c>
      <c r="HJ127" s="168">
        <v>617000</v>
      </c>
      <c r="HK127" s="21"/>
      <c r="HL127" s="21"/>
      <c r="HM127" s="21"/>
      <c r="HN127" s="21"/>
      <c r="HO127" s="21"/>
      <c r="HP127" s="21"/>
      <c r="HQ127" s="21"/>
      <c r="HR127" s="21"/>
      <c r="HS127" s="21"/>
      <c r="HT127" s="21"/>
      <c r="HU127" s="21"/>
      <c r="HV127" s="21"/>
      <c r="HW127" s="21"/>
      <c r="HX127" s="21"/>
      <c r="HY127" s="21"/>
      <c r="HZ127" s="21"/>
      <c r="IA127" s="21"/>
      <c r="IB127" s="21"/>
      <c r="IC127" s="21"/>
      <c r="ID127" s="21"/>
      <c r="IE127" s="168">
        <v>1292000</v>
      </c>
      <c r="IF127" s="168">
        <v>1118000</v>
      </c>
      <c r="IG127" s="21"/>
      <c r="IH127" s="21"/>
      <c r="II127" s="21"/>
      <c r="IJ127" s="21"/>
      <c r="IK127" s="21"/>
      <c r="IL127" s="21"/>
      <c r="IM127" s="21"/>
      <c r="IN127" s="21"/>
      <c r="IO127" s="21"/>
      <c r="IP127" s="21"/>
      <c r="IQ127" s="21"/>
      <c r="IR127" s="21"/>
      <c r="IS127" s="21"/>
      <c r="IT127" s="21"/>
      <c r="IU127" s="168">
        <v>2034000</v>
      </c>
      <c r="IV127" s="168">
        <v>2672000</v>
      </c>
      <c r="IW127" s="168">
        <v>2147000</v>
      </c>
      <c r="IX127" s="168">
        <v>2794000</v>
      </c>
      <c r="IY127" s="21"/>
      <c r="IZ127" s="21"/>
      <c r="JA127" s="21"/>
      <c r="JB127" s="21"/>
      <c r="JC127" s="21"/>
      <c r="JD127" s="21"/>
      <c r="JE127" s="21"/>
      <c r="JF127" s="21"/>
      <c r="JG127" s="21"/>
      <c r="JH127" s="21"/>
      <c r="JI127" s="21"/>
      <c r="JJ127" s="21"/>
      <c r="JK127" s="21"/>
      <c r="JL127" s="21"/>
      <c r="JM127" s="168">
        <v>87923000</v>
      </c>
      <c r="JN127" s="168">
        <v>88891000</v>
      </c>
      <c r="JO127" s="21"/>
      <c r="JP127" s="21"/>
      <c r="JQ127" s="21"/>
      <c r="JR127" s="21"/>
      <c r="JS127" s="21"/>
      <c r="JT127" s="21"/>
      <c r="JU127" s="21"/>
      <c r="JV127" s="21"/>
      <c r="JW127" s="168">
        <v>87841000</v>
      </c>
      <c r="JX127" s="168">
        <v>88274000</v>
      </c>
      <c r="JY127" s="21"/>
      <c r="JZ127" s="21"/>
      <c r="KA127" s="21"/>
      <c r="KB127" s="21"/>
      <c r="KC127" s="21"/>
      <c r="KD127" s="21"/>
      <c r="KE127" s="21"/>
      <c r="KF127" s="21"/>
      <c r="KG127" s="21"/>
      <c r="KH127" s="21"/>
      <c r="KI127" s="21"/>
      <c r="KJ127" s="21"/>
      <c r="KK127" s="21"/>
      <c r="KL127" s="21"/>
      <c r="KM127" s="21"/>
      <c r="KN127" s="21"/>
      <c r="KO127" s="21"/>
      <c r="KP127" s="21"/>
      <c r="KQ127" s="21"/>
      <c r="KR127" s="21"/>
      <c r="KS127" s="21"/>
      <c r="KT127" s="21"/>
      <c r="KU127" s="21"/>
      <c r="KV127" s="21"/>
      <c r="KW127" s="21"/>
      <c r="KX127" s="21"/>
      <c r="KY127" s="21"/>
      <c r="KZ127" s="21"/>
      <c r="LA127" s="168">
        <v>490000</v>
      </c>
      <c r="LB127" s="168">
        <v>490000</v>
      </c>
      <c r="LC127" s="21"/>
      <c r="LD127" s="21"/>
      <c r="LE127" s="21"/>
      <c r="LF127" s="21"/>
      <c r="LG127" s="21"/>
      <c r="LH127" s="21"/>
      <c r="LI127" s="21"/>
      <c r="LJ127" s="21"/>
      <c r="LK127" s="168">
        <v>12943000</v>
      </c>
      <c r="LL127" s="168">
        <v>10357000</v>
      </c>
      <c r="LM127" s="21"/>
      <c r="LN127" s="21"/>
      <c r="LO127" s="21"/>
      <c r="LP127" s="21"/>
      <c r="LQ127" s="21"/>
      <c r="LR127" s="21"/>
      <c r="LS127" s="21"/>
      <c r="LT127" s="21"/>
      <c r="LU127" s="21"/>
      <c r="LV127" s="21"/>
      <c r="LW127" s="21"/>
      <c r="LX127" s="21"/>
      <c r="LY127" s="21"/>
      <c r="LZ127" s="21"/>
      <c r="MA127" s="21"/>
      <c r="MB127" s="21"/>
      <c r="MC127" s="168">
        <v>8926000</v>
      </c>
      <c r="MD127" s="168">
        <v>9994000</v>
      </c>
      <c r="ME127" s="21"/>
      <c r="MF127" s="21"/>
      <c r="MG127" s="21"/>
      <c r="MH127" s="21"/>
      <c r="MI127" s="21"/>
      <c r="MJ127" s="21"/>
      <c r="MK127" s="21"/>
      <c r="ML127" s="21"/>
      <c r="MM127" s="21"/>
      <c r="MN127" s="21"/>
      <c r="MO127" s="21"/>
      <c r="MP127" s="21"/>
      <c r="MQ127" s="21"/>
      <c r="MR127" s="21"/>
      <c r="MS127" s="21"/>
      <c r="MT127" s="21"/>
      <c r="MU127" s="21"/>
      <c r="MV127" s="21"/>
      <c r="MW127" s="21"/>
      <c r="MX127" s="21"/>
      <c r="MY127" s="21"/>
      <c r="MZ127" s="21"/>
      <c r="NA127" s="21"/>
      <c r="NB127" s="21"/>
      <c r="NC127" s="168">
        <v>1736000</v>
      </c>
      <c r="ND127" s="168">
        <v>1636000</v>
      </c>
      <c r="NE127" s="168">
        <v>920000</v>
      </c>
      <c r="NF127" s="168">
        <v>1060000</v>
      </c>
      <c r="NG127" s="168">
        <v>35782000</v>
      </c>
      <c r="NH127" s="168">
        <v>34163000</v>
      </c>
      <c r="NI127" s="21"/>
      <c r="NJ127" s="21"/>
      <c r="NK127" s="21"/>
      <c r="NL127" s="21"/>
      <c r="NM127" s="168">
        <v>30339000</v>
      </c>
      <c r="NN127" s="168">
        <v>28726000</v>
      </c>
      <c r="NO127" s="168">
        <v>70283000</v>
      </c>
      <c r="NP127" s="168">
        <v>67051000</v>
      </c>
      <c r="NQ127" s="168" t="s">
        <v>905</v>
      </c>
      <c r="NR127" s="168" t="s">
        <v>769</v>
      </c>
      <c r="NS127" s="168" t="s">
        <v>770</v>
      </c>
      <c r="NT127" s="168" t="s">
        <v>771</v>
      </c>
      <c r="NU127" s="168">
        <v>6101</v>
      </c>
      <c r="NV127" s="168" t="s">
        <v>2104</v>
      </c>
      <c r="NW127" s="168" t="s">
        <v>28</v>
      </c>
      <c r="NX127" s="168" t="s">
        <v>25</v>
      </c>
      <c r="NY127" s="169">
        <v>42825</v>
      </c>
      <c r="NZ127" s="169">
        <v>42460</v>
      </c>
      <c r="OA127" s="169">
        <v>43000</v>
      </c>
      <c r="OB127" s="168" t="s">
        <v>906</v>
      </c>
      <c r="OC127" s="168">
        <v>12</v>
      </c>
      <c r="OD127" s="168" t="s">
        <v>2105</v>
      </c>
      <c r="OE127" s="168" t="s">
        <v>2147</v>
      </c>
      <c r="OF127" s="168" t="s">
        <v>2148</v>
      </c>
      <c r="OG127" s="168" t="s">
        <v>1829</v>
      </c>
      <c r="OH127" s="168" t="s">
        <v>877</v>
      </c>
      <c r="OI127" s="168" t="s">
        <v>766</v>
      </c>
      <c r="OJ127" s="168" t="s">
        <v>3240</v>
      </c>
      <c r="OK127" s="168" t="s">
        <v>767</v>
      </c>
    </row>
    <row r="128" spans="1:401" x14ac:dyDescent="0.2">
      <c r="A128" s="170" t="str">
        <f>Liste[[#This Row],[Siren]]</f>
        <v>572230829</v>
      </c>
      <c r="B128" s="198" t="str">
        <f>Liste[[#This Row],[Dénomination]]&amp;" - comptes "&amp;YEAR(Liste[[#This Row],[Date de cloture de l''exercice]])</f>
        <v>ST DUPONT - comptes 2017</v>
      </c>
      <c r="C128" s="21"/>
      <c r="D128" s="21"/>
      <c r="E128" s="21"/>
      <c r="F128" s="168">
        <v>5240000</v>
      </c>
      <c r="G128" s="168">
        <v>4834000</v>
      </c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168">
        <v>11346000</v>
      </c>
      <c r="BE128" s="168">
        <v>15089000</v>
      </c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168">
        <v>3782000</v>
      </c>
      <c r="CF128" s="168">
        <v>3571000</v>
      </c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168">
        <v>19833000</v>
      </c>
      <c r="EM128" s="168">
        <v>19119000</v>
      </c>
      <c r="EN128" s="21"/>
      <c r="EO128" s="21"/>
      <c r="EP128" s="168">
        <v>43765000</v>
      </c>
      <c r="EQ128" s="168">
        <v>49983000</v>
      </c>
      <c r="ER128" s="21"/>
      <c r="ES128" s="21"/>
      <c r="ET128" s="168">
        <v>63598000</v>
      </c>
      <c r="EU128" s="168">
        <v>69102000</v>
      </c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168">
        <v>-582000</v>
      </c>
      <c r="FL128" s="168">
        <v>-1775000</v>
      </c>
      <c r="FM128" s="21"/>
      <c r="FN128" s="21"/>
      <c r="FO128" s="21"/>
      <c r="FP128" s="21"/>
      <c r="FQ128" s="21"/>
      <c r="FR128" s="21"/>
      <c r="FS128" s="21"/>
      <c r="FT128" s="21"/>
      <c r="FU128" s="21"/>
      <c r="FV128" s="21"/>
      <c r="FW128" s="21"/>
      <c r="FX128" s="21"/>
      <c r="FY128" s="21"/>
      <c r="FZ128" s="21"/>
      <c r="GA128" s="21"/>
      <c r="GB128" s="21"/>
      <c r="GC128" s="21"/>
      <c r="GD128" s="21"/>
      <c r="GE128" s="21"/>
      <c r="GF128" s="21"/>
      <c r="GG128" s="21"/>
      <c r="GH128" s="21"/>
      <c r="GI128" s="21"/>
      <c r="GJ128" s="21"/>
      <c r="GK128" s="21"/>
      <c r="GL128" s="21"/>
      <c r="GM128" s="168">
        <v>-1346000</v>
      </c>
      <c r="GN128" s="168">
        <v>-2418000</v>
      </c>
      <c r="GO128" s="21"/>
      <c r="GP128" s="21"/>
      <c r="GQ128" s="21"/>
      <c r="GR128" s="21"/>
      <c r="GS128" s="168">
        <v>-1346000</v>
      </c>
      <c r="GT128" s="168">
        <v>-2418000</v>
      </c>
      <c r="GU128" s="21"/>
      <c r="GV128" s="21"/>
      <c r="GW128" s="21"/>
      <c r="GX128" s="21"/>
      <c r="GY128" s="21"/>
      <c r="GZ128" s="21"/>
      <c r="HA128" s="21"/>
      <c r="HB128" s="21"/>
      <c r="HC128" s="21"/>
      <c r="HD128" s="21"/>
      <c r="HE128" s="21"/>
      <c r="HF128" s="168">
        <v>-1814000</v>
      </c>
      <c r="HG128" s="21"/>
      <c r="HH128" s="21"/>
      <c r="HI128" s="168">
        <v>708000</v>
      </c>
      <c r="HJ128" s="168">
        <v>55000</v>
      </c>
      <c r="HK128" s="21"/>
      <c r="HL128" s="21"/>
      <c r="HM128" s="21"/>
      <c r="HN128" s="21"/>
      <c r="HO128" s="21"/>
      <c r="HP128" s="21"/>
      <c r="HQ128" s="21"/>
      <c r="HR128" s="21"/>
      <c r="HS128" s="21"/>
      <c r="HT128" s="21"/>
      <c r="HU128" s="21"/>
      <c r="HV128" s="21"/>
      <c r="HW128" s="21"/>
      <c r="HX128" s="21"/>
      <c r="HY128" s="21"/>
      <c r="HZ128" s="21"/>
      <c r="IA128" s="21"/>
      <c r="IB128" s="21"/>
      <c r="IC128" s="21"/>
      <c r="ID128" s="21"/>
      <c r="IE128" s="21"/>
      <c r="IF128" s="21"/>
      <c r="IG128" s="21"/>
      <c r="IH128" s="21"/>
      <c r="II128" s="21"/>
      <c r="IJ128" s="21"/>
      <c r="IK128" s="21"/>
      <c r="IL128" s="21"/>
      <c r="IM128" s="21"/>
      <c r="IN128" s="21"/>
      <c r="IO128" s="21"/>
      <c r="IP128" s="21"/>
      <c r="IQ128" s="21"/>
      <c r="IR128" s="21"/>
      <c r="IS128" s="21"/>
      <c r="IT128" s="21"/>
      <c r="IU128" s="168">
        <v>-582000</v>
      </c>
      <c r="IV128" s="168">
        <v>-1775000</v>
      </c>
      <c r="IW128" s="21"/>
      <c r="IX128" s="21"/>
      <c r="IY128" s="21"/>
      <c r="IZ128" s="21"/>
      <c r="JA128" s="21"/>
      <c r="JB128" s="21"/>
      <c r="JC128" s="21"/>
      <c r="JD128" s="21"/>
      <c r="JE128" s="21"/>
      <c r="JF128" s="21"/>
      <c r="JG128" s="21"/>
      <c r="JH128" s="21"/>
      <c r="JI128" s="21"/>
      <c r="JJ128" s="21"/>
      <c r="JK128" s="21"/>
      <c r="JL128" s="21"/>
      <c r="JM128" s="21"/>
      <c r="JN128" s="21"/>
      <c r="JO128" s="21"/>
      <c r="JP128" s="21"/>
      <c r="JQ128" s="21"/>
      <c r="JR128" s="21"/>
      <c r="JS128" s="21"/>
      <c r="JT128" s="21"/>
      <c r="JU128" s="21"/>
      <c r="JV128" s="21"/>
      <c r="JW128" s="168">
        <v>61969000</v>
      </c>
      <c r="JX128" s="168">
        <v>70510000</v>
      </c>
      <c r="JY128" s="21"/>
      <c r="JZ128" s="21"/>
      <c r="KA128" s="21"/>
      <c r="KB128" s="21"/>
      <c r="KC128" s="21"/>
      <c r="KD128" s="21"/>
      <c r="KE128" s="21"/>
      <c r="KF128" s="21"/>
      <c r="KG128" s="21"/>
      <c r="KH128" s="21"/>
      <c r="KI128" s="21"/>
      <c r="KJ128" s="21"/>
      <c r="KK128" s="21"/>
      <c r="KL128" s="21"/>
      <c r="KM128" s="21"/>
      <c r="KN128" s="21"/>
      <c r="KO128" s="21"/>
      <c r="KP128" s="21"/>
      <c r="KQ128" s="21"/>
      <c r="KR128" s="21"/>
      <c r="KS128" s="21"/>
      <c r="KT128" s="21"/>
      <c r="KU128" s="21"/>
      <c r="KV128" s="21"/>
      <c r="KW128" s="21"/>
      <c r="KX128" s="21"/>
      <c r="KY128" s="21"/>
      <c r="KZ128" s="21"/>
      <c r="LA128" s="168">
        <v>26214000</v>
      </c>
      <c r="LB128" s="168">
        <v>26214000</v>
      </c>
      <c r="LC128" s="21"/>
      <c r="LD128" s="21"/>
      <c r="LE128" s="21"/>
      <c r="LF128" s="21"/>
      <c r="LG128" s="21"/>
      <c r="LH128" s="21"/>
      <c r="LI128" s="21"/>
      <c r="LJ128" s="21"/>
      <c r="LK128" s="21"/>
      <c r="LL128" s="21"/>
      <c r="LM128" s="21"/>
      <c r="LN128" s="21"/>
      <c r="LO128" s="21"/>
      <c r="LP128" s="21"/>
      <c r="LQ128" s="21"/>
      <c r="LR128" s="21"/>
      <c r="LS128" s="21"/>
      <c r="LT128" s="21"/>
      <c r="LU128" s="21"/>
      <c r="LV128" s="21"/>
      <c r="LW128" s="21"/>
      <c r="LX128" s="21"/>
      <c r="LY128" s="21"/>
      <c r="LZ128" s="21"/>
      <c r="MA128" s="21"/>
      <c r="MB128" s="21"/>
      <c r="MC128" s="168">
        <v>5705000</v>
      </c>
      <c r="MD128" s="168">
        <v>6927000</v>
      </c>
      <c r="ME128" s="21"/>
      <c r="MF128" s="21"/>
      <c r="MG128" s="21"/>
      <c r="MH128" s="21"/>
      <c r="MI128" s="168">
        <v>9286000</v>
      </c>
      <c r="MJ128" s="168">
        <v>9286000</v>
      </c>
      <c r="MK128" s="21"/>
      <c r="ML128" s="21"/>
      <c r="MM128" s="21"/>
      <c r="MN128" s="21"/>
      <c r="MO128" s="21"/>
      <c r="MP128" s="21"/>
      <c r="MQ128" s="21"/>
      <c r="MR128" s="21"/>
      <c r="MS128" s="21"/>
      <c r="MT128" s="21"/>
      <c r="MU128" s="21"/>
      <c r="MV128" s="21"/>
      <c r="MW128" s="21"/>
      <c r="MX128" s="21"/>
      <c r="MY128" s="21"/>
      <c r="MZ128" s="21"/>
      <c r="NA128" s="21"/>
      <c r="NB128" s="21"/>
      <c r="NC128" s="168">
        <v>-13461000</v>
      </c>
      <c r="ND128" s="168">
        <v>-24181000</v>
      </c>
      <c r="NE128" s="21"/>
      <c r="NF128" s="21"/>
      <c r="NG128" s="168">
        <v>32336000</v>
      </c>
      <c r="NH128" s="168">
        <v>32567000</v>
      </c>
      <c r="NI128" s="21"/>
      <c r="NJ128" s="21"/>
      <c r="NK128" s="21"/>
      <c r="NL128" s="21"/>
      <c r="NM128" s="168">
        <v>31262000</v>
      </c>
      <c r="NN128" s="168">
        <v>36535000</v>
      </c>
      <c r="NO128" s="168">
        <v>63598000</v>
      </c>
      <c r="NP128" s="168">
        <v>69102000</v>
      </c>
      <c r="NQ128" s="168" t="s">
        <v>917</v>
      </c>
      <c r="NR128" s="168" t="s">
        <v>918</v>
      </c>
      <c r="NS128" s="168" t="s">
        <v>770</v>
      </c>
      <c r="NT128" s="168" t="s">
        <v>771</v>
      </c>
      <c r="NU128" s="168">
        <v>7501</v>
      </c>
      <c r="NV128" s="168" t="s">
        <v>2104</v>
      </c>
      <c r="NW128" s="168" t="s">
        <v>28</v>
      </c>
      <c r="NX128" s="168" t="s">
        <v>25</v>
      </c>
      <c r="NY128" s="169">
        <v>42825</v>
      </c>
      <c r="NZ128" s="169">
        <v>42460</v>
      </c>
      <c r="OA128" s="169">
        <v>43000</v>
      </c>
      <c r="OB128" s="168" t="s">
        <v>919</v>
      </c>
      <c r="OC128" s="168">
        <v>12</v>
      </c>
      <c r="OD128" s="168" t="s">
        <v>2105</v>
      </c>
      <c r="OE128" s="168" t="s">
        <v>2158</v>
      </c>
      <c r="OF128" s="168" t="s">
        <v>2159</v>
      </c>
      <c r="OG128" s="168" t="s">
        <v>1830</v>
      </c>
      <c r="OH128" s="168" t="s">
        <v>765</v>
      </c>
      <c r="OI128" s="168" t="s">
        <v>766</v>
      </c>
      <c r="OJ128" s="168" t="s">
        <v>3240</v>
      </c>
      <c r="OK128" s="168" t="s">
        <v>916</v>
      </c>
    </row>
    <row r="129" spans="1:401" x14ac:dyDescent="0.2">
      <c r="A129" s="170" t="str">
        <f>Liste[[#This Row],[Siren]]</f>
        <v>320992977</v>
      </c>
      <c r="B129" s="198" t="str">
        <f>Liste[[#This Row],[Dénomination]]&amp;" - comptes "&amp;YEAR(Liste[[#This Row],[Date de cloture de l''exercice]])</f>
        <v>BIGBEN INTERACTIVE Nom Commercial : BIGBEN - comptes 2017</v>
      </c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168">
        <v>30877000</v>
      </c>
      <c r="S129" s="168">
        <v>25363000</v>
      </c>
      <c r="T129" s="168">
        <v>30877000</v>
      </c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168">
        <v>47850000</v>
      </c>
      <c r="BE129" s="168">
        <v>38802000</v>
      </c>
      <c r="BF129" s="168">
        <v>47850000</v>
      </c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168">
        <v>35918000</v>
      </c>
      <c r="EI129" s="168">
        <v>35918000</v>
      </c>
      <c r="EJ129" s="168">
        <v>35918000</v>
      </c>
      <c r="EK129" s="21"/>
      <c r="EL129" s="168">
        <v>86984000</v>
      </c>
      <c r="EM129" s="168">
        <v>84555000</v>
      </c>
      <c r="EN129" s="168">
        <v>86984000</v>
      </c>
      <c r="EO129" s="21"/>
      <c r="EP129" s="168">
        <v>120458000</v>
      </c>
      <c r="EQ129" s="168">
        <v>118828000</v>
      </c>
      <c r="ER129" s="168">
        <v>120458000</v>
      </c>
      <c r="ES129" s="21"/>
      <c r="ET129" s="168">
        <v>207442000</v>
      </c>
      <c r="EU129" s="168">
        <v>203383000</v>
      </c>
      <c r="EV129" s="168">
        <v>207442000</v>
      </c>
      <c r="EW129" s="21"/>
      <c r="EX129" s="21"/>
      <c r="EY129" s="21"/>
      <c r="EZ129" s="21"/>
      <c r="FA129" s="21"/>
      <c r="FB129" s="168">
        <v>47000</v>
      </c>
      <c r="FC129" s="168">
        <v>150000</v>
      </c>
      <c r="FD129" s="168">
        <v>47000</v>
      </c>
      <c r="FE129" s="21"/>
      <c r="FF129" s="21"/>
      <c r="FG129" s="21"/>
      <c r="FH129" s="21"/>
      <c r="FI129" s="21"/>
      <c r="FJ129" s="21"/>
      <c r="FK129" s="168">
        <v>8946000</v>
      </c>
      <c r="FL129" s="168">
        <v>3898000</v>
      </c>
      <c r="FM129" s="21"/>
      <c r="FN129" s="21"/>
      <c r="FO129" s="21"/>
      <c r="FP129" s="21"/>
      <c r="FQ129" s="21"/>
      <c r="FR129" s="21"/>
      <c r="FS129" s="21"/>
      <c r="FT129" s="21"/>
      <c r="FU129" s="21"/>
      <c r="FV129" s="21"/>
      <c r="FW129" s="21"/>
      <c r="FX129" s="21"/>
      <c r="FY129" s="21"/>
      <c r="FZ129" s="21"/>
      <c r="GA129" s="21"/>
      <c r="GB129" s="21"/>
      <c r="GC129" s="21"/>
      <c r="GD129" s="21"/>
      <c r="GE129" s="21"/>
      <c r="GF129" s="21"/>
      <c r="GG129" s="21"/>
      <c r="GH129" s="21"/>
      <c r="GI129" s="21"/>
      <c r="GJ129" s="21"/>
      <c r="GK129" s="21"/>
      <c r="GL129" s="21"/>
      <c r="GM129" s="21"/>
      <c r="GN129" s="21"/>
      <c r="GO129" s="21"/>
      <c r="GP129" s="21"/>
      <c r="GQ129" s="21"/>
      <c r="GR129" s="21"/>
      <c r="GS129" s="21"/>
      <c r="GT129" s="21"/>
      <c r="GU129" s="21"/>
      <c r="GV129" s="21"/>
      <c r="GW129" s="21"/>
      <c r="GX129" s="21"/>
      <c r="GY129" s="21"/>
      <c r="GZ129" s="21"/>
      <c r="HA129" s="21"/>
      <c r="HB129" s="21"/>
      <c r="HC129" s="168">
        <v>-23273000</v>
      </c>
      <c r="HD129" s="168">
        <v>-22656000</v>
      </c>
      <c r="HE129" s="21"/>
      <c r="HF129" s="21"/>
      <c r="HG129" s="21"/>
      <c r="HH129" s="21"/>
      <c r="HI129" s="168">
        <v>1075000</v>
      </c>
      <c r="HJ129" s="168">
        <v>701000</v>
      </c>
      <c r="HK129" s="21"/>
      <c r="HL129" s="21"/>
      <c r="HM129" s="21"/>
      <c r="HN129" s="21"/>
      <c r="HO129" s="21"/>
      <c r="HP129" s="21"/>
      <c r="HQ129" s="21"/>
      <c r="HR129" s="21"/>
      <c r="HS129" s="21"/>
      <c r="HT129" s="21"/>
      <c r="HU129" s="21"/>
      <c r="HV129" s="21"/>
      <c r="HW129" s="21"/>
      <c r="HX129" s="21"/>
      <c r="HY129" s="21"/>
      <c r="HZ129" s="21"/>
      <c r="IA129" s="21"/>
      <c r="IB129" s="21"/>
      <c r="IC129" s="21"/>
      <c r="ID129" s="21"/>
      <c r="IE129" s="168">
        <v>-1362000</v>
      </c>
      <c r="IF129" s="168">
        <v>-1407000</v>
      </c>
      <c r="IG129" s="21"/>
      <c r="IH129" s="21"/>
      <c r="II129" s="21"/>
      <c r="IJ129" s="21"/>
      <c r="IK129" s="21"/>
      <c r="IL129" s="21"/>
      <c r="IM129" s="21"/>
      <c r="IN129" s="21"/>
      <c r="IO129" s="21"/>
      <c r="IP129" s="21"/>
      <c r="IQ129" s="21"/>
      <c r="IR129" s="21"/>
      <c r="IS129" s="21"/>
      <c r="IT129" s="21"/>
      <c r="IU129" s="168">
        <v>1216000</v>
      </c>
      <c r="IV129" s="168">
        <v>5622000</v>
      </c>
      <c r="IW129" s="21"/>
      <c r="IX129" s="21"/>
      <c r="IY129" s="168">
        <v>1597000</v>
      </c>
      <c r="IZ129" s="168">
        <v>-1665000</v>
      </c>
      <c r="JA129" s="21"/>
      <c r="JB129" s="21"/>
      <c r="JC129" s="21"/>
      <c r="JD129" s="21"/>
      <c r="JE129" s="21"/>
      <c r="JF129" s="21"/>
      <c r="JG129" s="21"/>
      <c r="JH129" s="21"/>
      <c r="JI129" s="21"/>
      <c r="JJ129" s="21"/>
      <c r="JK129" s="168">
        <v>-3260000</v>
      </c>
      <c r="JL129" s="168">
        <v>-5866000</v>
      </c>
      <c r="JM129" s="21"/>
      <c r="JN129" s="21"/>
      <c r="JO129" s="168">
        <v>6454000</v>
      </c>
      <c r="JP129" s="168">
        <v>4201000</v>
      </c>
      <c r="JQ129" s="21"/>
      <c r="JR129" s="21"/>
      <c r="JS129" s="21"/>
      <c r="JT129" s="21"/>
      <c r="JU129" s="21"/>
      <c r="JV129" s="21"/>
      <c r="JW129" s="168">
        <v>208067000</v>
      </c>
      <c r="JX129" s="168">
        <v>202216000</v>
      </c>
      <c r="JY129" s="21"/>
      <c r="JZ129" s="21"/>
      <c r="KA129" s="21"/>
      <c r="KB129" s="21"/>
      <c r="KC129" s="21"/>
      <c r="KD129" s="21"/>
      <c r="KE129" s="21"/>
      <c r="KF129" s="21"/>
      <c r="KG129" s="21"/>
      <c r="KH129" s="21"/>
      <c r="KI129" s="21"/>
      <c r="KJ129" s="21"/>
      <c r="KK129" s="21"/>
      <c r="KL129" s="21"/>
      <c r="KM129" s="21"/>
      <c r="KN129" s="21"/>
      <c r="KO129" s="21"/>
      <c r="KP129" s="21"/>
      <c r="KQ129" s="21"/>
      <c r="KR129" s="21"/>
      <c r="KS129" s="21"/>
      <c r="KT129" s="21"/>
      <c r="KU129" s="21"/>
      <c r="KV129" s="21"/>
      <c r="KW129" s="21"/>
      <c r="KX129" s="21"/>
      <c r="KY129" s="21"/>
      <c r="KZ129" s="21"/>
      <c r="LA129" s="168">
        <v>36445000</v>
      </c>
      <c r="LB129" s="168">
        <v>32827000</v>
      </c>
      <c r="LC129" s="21"/>
      <c r="LD129" s="21"/>
      <c r="LE129" s="21"/>
      <c r="LF129" s="21"/>
      <c r="LG129" s="21"/>
      <c r="LH129" s="21"/>
      <c r="LI129" s="21"/>
      <c r="LJ129" s="21"/>
      <c r="LK129" s="168">
        <v>32211000</v>
      </c>
      <c r="LL129" s="168">
        <v>24186000</v>
      </c>
      <c r="LM129" s="21"/>
      <c r="LN129" s="21"/>
      <c r="LO129" s="21"/>
      <c r="LP129" s="21"/>
      <c r="LQ129" s="21"/>
      <c r="LR129" s="21"/>
      <c r="LS129" s="21"/>
      <c r="LT129" s="21"/>
      <c r="LU129" s="168">
        <v>795000</v>
      </c>
      <c r="LV129" s="168">
        <v>579000</v>
      </c>
      <c r="LW129" s="21"/>
      <c r="LX129" s="21"/>
      <c r="LY129" s="21"/>
      <c r="LZ129" s="21"/>
      <c r="MA129" s="21"/>
      <c r="MB129" s="21"/>
      <c r="MC129" s="21"/>
      <c r="MD129" s="21"/>
      <c r="ME129" s="21"/>
      <c r="MF129" s="21"/>
      <c r="MG129" s="168">
        <v>5429000</v>
      </c>
      <c r="MH129" s="168">
        <v>5874000</v>
      </c>
      <c r="MI129" s="168">
        <v>33481000</v>
      </c>
      <c r="MJ129" s="168">
        <v>29862000</v>
      </c>
      <c r="MK129" s="21"/>
      <c r="ML129" s="21"/>
      <c r="MM129" s="21"/>
      <c r="MN129" s="21"/>
      <c r="MO129" s="21"/>
      <c r="MP129" s="21"/>
      <c r="MQ129" s="21"/>
      <c r="MR129" s="21"/>
      <c r="MS129" s="21"/>
      <c r="MT129" s="21"/>
      <c r="MU129" s="21"/>
      <c r="MV129" s="21"/>
      <c r="MW129" s="21"/>
      <c r="MX129" s="21"/>
      <c r="MY129" s="21"/>
      <c r="MZ129" s="21"/>
      <c r="NA129" s="21"/>
      <c r="NB129" s="21"/>
      <c r="NC129" s="168">
        <v>8946000</v>
      </c>
      <c r="ND129" s="168">
        <v>3898000</v>
      </c>
      <c r="NE129" s="21"/>
      <c r="NF129" s="21"/>
      <c r="NG129" s="168">
        <v>125991000</v>
      </c>
      <c r="NH129" s="168">
        <v>109024000</v>
      </c>
      <c r="NI129" s="21"/>
      <c r="NJ129" s="21"/>
      <c r="NK129" s="21"/>
      <c r="NL129" s="21"/>
      <c r="NM129" s="21"/>
      <c r="NN129" s="21"/>
      <c r="NO129" s="168">
        <v>207442000</v>
      </c>
      <c r="NP129" s="168">
        <v>203383000</v>
      </c>
      <c r="NQ129" s="168" t="s">
        <v>928</v>
      </c>
      <c r="NR129" s="168" t="s">
        <v>929</v>
      </c>
      <c r="NS129" s="168" t="s">
        <v>770</v>
      </c>
      <c r="NT129" s="168" t="s">
        <v>771</v>
      </c>
      <c r="NU129" s="168">
        <v>5910</v>
      </c>
      <c r="NV129" s="168" t="s">
        <v>2104</v>
      </c>
      <c r="NW129" s="168" t="s">
        <v>28</v>
      </c>
      <c r="NX129" s="168" t="s">
        <v>25</v>
      </c>
      <c r="NY129" s="169">
        <v>42825</v>
      </c>
      <c r="NZ129" s="169">
        <v>42460</v>
      </c>
      <c r="OA129" s="169">
        <v>42993</v>
      </c>
      <c r="OB129" s="168" t="s">
        <v>930</v>
      </c>
      <c r="OC129" s="168">
        <v>12</v>
      </c>
      <c r="OD129" s="168" t="s">
        <v>2105</v>
      </c>
      <c r="OE129" s="168" t="s">
        <v>2165</v>
      </c>
      <c r="OF129" s="168" t="s">
        <v>2166</v>
      </c>
      <c r="OG129" s="168" t="s">
        <v>1832</v>
      </c>
      <c r="OH129" s="168" t="s">
        <v>907</v>
      </c>
      <c r="OI129" s="168" t="s">
        <v>766</v>
      </c>
      <c r="OJ129" s="168" t="s">
        <v>3240</v>
      </c>
      <c r="OK129" s="168" t="s">
        <v>927</v>
      </c>
    </row>
    <row r="130" spans="1:401" x14ac:dyDescent="0.2">
      <c r="A130" s="170" t="str">
        <f>Liste[[#This Row],[Siren]]</f>
        <v>482265451</v>
      </c>
      <c r="B130" s="198" t="str">
        <f>Liste[[#This Row],[Dénomination]]&amp;" - comptes "&amp;YEAR(Liste[[#This Row],[Date de cloture de l''exercice]])</f>
        <v>RIVERY EXPLOITATION - comptes 2017</v>
      </c>
      <c r="C130" s="21"/>
      <c r="D130" s="21"/>
      <c r="E130" s="21"/>
      <c r="F130" s="168">
        <v>1764619</v>
      </c>
      <c r="G130" s="168">
        <v>1580042</v>
      </c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168">
        <v>20000</v>
      </c>
      <c r="AT130" s="168">
        <v>20000</v>
      </c>
      <c r="AU130" s="21"/>
      <c r="AV130" s="21"/>
      <c r="AW130" s="21"/>
      <c r="AX130" s="21"/>
      <c r="AY130" s="21"/>
      <c r="AZ130" s="21"/>
      <c r="BA130" s="21"/>
      <c r="BB130" s="21"/>
      <c r="BC130" s="21"/>
      <c r="BD130" s="168">
        <v>1227205</v>
      </c>
      <c r="BE130" s="168">
        <v>1403688</v>
      </c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168">
        <v>955658</v>
      </c>
      <c r="BY130" s="168">
        <v>910034</v>
      </c>
      <c r="BZ130" s="21"/>
      <c r="CA130" s="21"/>
      <c r="CB130" s="21"/>
      <c r="CC130" s="21"/>
      <c r="CD130" s="21"/>
      <c r="CE130" s="168">
        <v>6220535</v>
      </c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168">
        <v>19006688</v>
      </c>
      <c r="EM130" s="168">
        <v>23978426</v>
      </c>
      <c r="EN130" s="21"/>
      <c r="EO130" s="21"/>
      <c r="EP130" s="168">
        <v>8823849</v>
      </c>
      <c r="EQ130" s="168">
        <v>8354845</v>
      </c>
      <c r="ER130" s="21"/>
      <c r="ES130" s="21"/>
      <c r="ET130" s="168">
        <v>34305556</v>
      </c>
      <c r="EU130" s="168">
        <v>32608913</v>
      </c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168">
        <v>67514</v>
      </c>
      <c r="FJ130" s="168">
        <v>834</v>
      </c>
      <c r="FK130" s="21"/>
      <c r="FL130" s="21"/>
      <c r="FM130" s="21"/>
      <c r="FN130" s="21"/>
      <c r="FO130" s="21"/>
      <c r="FP130" s="21"/>
      <c r="FQ130" s="21"/>
      <c r="FR130" s="21"/>
      <c r="FS130" s="21"/>
      <c r="FT130" s="21"/>
      <c r="FU130" s="21"/>
      <c r="FV130" s="21"/>
      <c r="FW130" s="21"/>
      <c r="FX130" s="21"/>
      <c r="FY130" s="168">
        <v>-6301</v>
      </c>
      <c r="FZ130" s="168">
        <v>5575</v>
      </c>
      <c r="GA130" s="21"/>
      <c r="GB130" s="21"/>
      <c r="GC130" s="21"/>
      <c r="GD130" s="21"/>
      <c r="GE130" s="21"/>
      <c r="GF130" s="21"/>
      <c r="GG130" s="21"/>
      <c r="GH130" s="21"/>
      <c r="GI130" s="21"/>
      <c r="GJ130" s="21"/>
      <c r="GK130" s="21"/>
      <c r="GL130" s="21"/>
      <c r="GM130" s="168">
        <v>1058426</v>
      </c>
      <c r="GN130" s="168">
        <v>1307492</v>
      </c>
      <c r="GO130" s="21"/>
      <c r="GP130" s="21"/>
      <c r="GQ130" s="21"/>
      <c r="GR130" s="21"/>
      <c r="GS130" s="168">
        <v>1064727</v>
      </c>
      <c r="GT130" s="168">
        <v>1301917</v>
      </c>
      <c r="GU130" s="168">
        <v>170996</v>
      </c>
      <c r="GV130" s="168">
        <v>105516</v>
      </c>
      <c r="GW130" s="168">
        <v>238510</v>
      </c>
      <c r="GX130" s="168">
        <v>106350</v>
      </c>
      <c r="GY130" s="21"/>
      <c r="GZ130" s="21"/>
      <c r="HA130" s="21"/>
      <c r="HB130" s="21"/>
      <c r="HC130" s="168">
        <v>2939006</v>
      </c>
      <c r="HD130" s="168">
        <v>2297254</v>
      </c>
      <c r="HE130" s="21"/>
      <c r="HF130" s="21"/>
      <c r="HG130" s="21"/>
      <c r="HH130" s="21"/>
      <c r="HI130" s="168">
        <v>339912</v>
      </c>
      <c r="HJ130" s="168">
        <v>297567</v>
      </c>
      <c r="HK130" s="21"/>
      <c r="HL130" s="21"/>
      <c r="HM130" s="21"/>
      <c r="HN130" s="21"/>
      <c r="HO130" s="21"/>
      <c r="HP130" s="21"/>
      <c r="HQ130" s="21"/>
      <c r="HR130" s="21"/>
      <c r="HS130" s="21"/>
      <c r="HT130" s="21"/>
      <c r="HU130" s="168">
        <v>1254007</v>
      </c>
      <c r="HV130" s="168">
        <v>940975</v>
      </c>
      <c r="HW130" s="21"/>
      <c r="HX130" s="21"/>
      <c r="HY130" s="168">
        <v>1850</v>
      </c>
      <c r="HZ130" s="168">
        <v>26430</v>
      </c>
      <c r="IA130" s="21"/>
      <c r="IB130" s="21"/>
      <c r="IC130" s="21"/>
      <c r="ID130" s="21"/>
      <c r="IE130" s="168">
        <v>877528</v>
      </c>
      <c r="IF130" s="168">
        <v>805820</v>
      </c>
      <c r="IG130" s="21"/>
      <c r="IH130" s="21"/>
      <c r="II130" s="21"/>
      <c r="IJ130" s="21"/>
      <c r="IK130" s="21"/>
      <c r="IL130" s="21"/>
      <c r="IM130" s="21"/>
      <c r="IN130" s="21"/>
      <c r="IO130" s="21"/>
      <c r="IP130" s="21"/>
      <c r="IQ130" s="21"/>
      <c r="IR130" s="21"/>
      <c r="IS130" s="21"/>
      <c r="IT130" s="21"/>
      <c r="IU130" s="168">
        <v>1061247</v>
      </c>
      <c r="IV130" s="168">
        <v>1440061</v>
      </c>
      <c r="IW130" s="168">
        <v>1309061</v>
      </c>
      <c r="IX130" s="168">
        <v>1720597</v>
      </c>
      <c r="IY130" s="168">
        <v>-247814</v>
      </c>
      <c r="IZ130" s="168">
        <v>-280536</v>
      </c>
      <c r="JA130" s="168">
        <v>144453</v>
      </c>
      <c r="JB130" s="168">
        <v>79539</v>
      </c>
      <c r="JC130" s="21"/>
      <c r="JD130" s="21"/>
      <c r="JE130" s="168">
        <v>5591890</v>
      </c>
      <c r="JF130" s="168">
        <v>4844565</v>
      </c>
      <c r="JG130" s="168">
        <v>17136</v>
      </c>
      <c r="JH130" s="21"/>
      <c r="JI130" s="168">
        <v>67546129</v>
      </c>
      <c r="JJ130" s="168">
        <v>54049942</v>
      </c>
      <c r="JK130" s="168">
        <v>250288</v>
      </c>
      <c r="JL130" s="168">
        <v>285425</v>
      </c>
      <c r="JM130" s="168">
        <v>501501</v>
      </c>
      <c r="JN130" s="168">
        <v>377106</v>
      </c>
      <c r="JO130" s="168">
        <v>2474</v>
      </c>
      <c r="JP130" s="168">
        <v>4889</v>
      </c>
      <c r="JQ130" s="21"/>
      <c r="JR130" s="21"/>
      <c r="JS130" s="21"/>
      <c r="JT130" s="21"/>
      <c r="JU130" s="21"/>
      <c r="JV130" s="21"/>
      <c r="JW130" s="168">
        <v>68353689</v>
      </c>
      <c r="JX130" s="168">
        <v>55393433</v>
      </c>
      <c r="JY130" s="21"/>
      <c r="JZ130" s="21"/>
      <c r="KA130" s="21"/>
      <c r="KB130" s="21"/>
      <c r="KC130" s="21"/>
      <c r="KD130" s="21"/>
      <c r="KE130" s="21"/>
      <c r="KF130" s="21"/>
      <c r="KG130" s="21"/>
      <c r="KH130" s="21"/>
      <c r="KI130" s="168">
        <v>65850907</v>
      </c>
      <c r="KJ130" s="168">
        <v>54325582</v>
      </c>
      <c r="KK130" s="168">
        <v>738</v>
      </c>
      <c r="KL130" s="168">
        <v>1</v>
      </c>
      <c r="KM130" s="21"/>
      <c r="KN130" s="21"/>
      <c r="KO130" s="21"/>
      <c r="KP130" s="21"/>
      <c r="KQ130" s="168">
        <v>146841</v>
      </c>
      <c r="KR130" s="168">
        <v>161131</v>
      </c>
      <c r="KS130" s="21"/>
      <c r="KT130" s="21"/>
      <c r="KU130" s="21"/>
      <c r="KV130" s="21"/>
      <c r="KW130" s="21"/>
      <c r="KX130" s="21"/>
      <c r="KY130" s="21"/>
      <c r="KZ130" s="21"/>
      <c r="LA130" s="168">
        <v>37000</v>
      </c>
      <c r="LB130" s="168">
        <v>37000</v>
      </c>
      <c r="LC130" s="21"/>
      <c r="LD130" s="21"/>
      <c r="LE130" s="21"/>
      <c r="LF130" s="21"/>
      <c r="LG130" s="21"/>
      <c r="LH130" s="21"/>
      <c r="LI130" s="168">
        <v>1968931</v>
      </c>
      <c r="LJ130" s="168">
        <v>2565114</v>
      </c>
      <c r="LK130" s="168">
        <v>5732090</v>
      </c>
      <c r="LL130" s="168">
        <v>4794763</v>
      </c>
      <c r="LM130" s="168">
        <v>91885</v>
      </c>
      <c r="LN130" s="168">
        <v>79650</v>
      </c>
      <c r="LO130" s="21"/>
      <c r="LP130" s="21"/>
      <c r="LQ130" s="21"/>
      <c r="LR130" s="21"/>
      <c r="LS130" s="21"/>
      <c r="LT130" s="21"/>
      <c r="LU130" s="21"/>
      <c r="LV130" s="21"/>
      <c r="LW130" s="21"/>
      <c r="LX130" s="21"/>
      <c r="LY130" s="21"/>
      <c r="LZ130" s="21"/>
      <c r="MA130" s="21"/>
      <c r="MB130" s="21"/>
      <c r="MC130" s="168">
        <v>18838202</v>
      </c>
      <c r="MD130" s="168">
        <v>18209742</v>
      </c>
      <c r="ME130" s="21"/>
      <c r="MF130" s="21"/>
      <c r="MG130" s="21"/>
      <c r="MH130" s="21"/>
      <c r="MI130" s="21"/>
      <c r="MJ130" s="21"/>
      <c r="MK130" s="21"/>
      <c r="ML130" s="21"/>
      <c r="MM130" s="21"/>
      <c r="MN130" s="21"/>
      <c r="MO130" s="21"/>
      <c r="MP130" s="21"/>
      <c r="MQ130" s="21"/>
      <c r="MR130" s="21"/>
      <c r="MS130" s="168">
        <v>-1</v>
      </c>
      <c r="MT130" s="21"/>
      <c r="MU130" s="21"/>
      <c r="MV130" s="21"/>
      <c r="MW130" s="168">
        <v>4827575</v>
      </c>
      <c r="MX130" s="168">
        <v>3665963</v>
      </c>
      <c r="MY130" s="21"/>
      <c r="MZ130" s="21"/>
      <c r="NA130" s="21"/>
      <c r="NB130" s="21"/>
      <c r="NC130" s="168">
        <v>1064727</v>
      </c>
      <c r="ND130" s="168">
        <v>1301917</v>
      </c>
      <c r="NE130" s="21"/>
      <c r="NF130" s="21"/>
      <c r="NG130" s="168">
        <v>5929301</v>
      </c>
      <c r="NH130" s="168">
        <v>5004880</v>
      </c>
      <c r="NI130" s="21"/>
      <c r="NJ130" s="21"/>
      <c r="NK130" s="168">
        <v>-11428</v>
      </c>
      <c r="NL130" s="168">
        <v>38108</v>
      </c>
      <c r="NM130" s="168">
        <v>26777949</v>
      </c>
      <c r="NN130" s="168">
        <v>25810400</v>
      </c>
      <c r="NO130" s="168">
        <v>34305556</v>
      </c>
      <c r="NP130" s="168">
        <v>32608913</v>
      </c>
      <c r="NQ130" s="168" t="s">
        <v>932</v>
      </c>
      <c r="NR130" s="168" t="s">
        <v>823</v>
      </c>
      <c r="NS130" s="168" t="s">
        <v>770</v>
      </c>
      <c r="NT130" s="168" t="s">
        <v>771</v>
      </c>
      <c r="NU130" s="168">
        <v>8002</v>
      </c>
      <c r="NV130" s="168" t="s">
        <v>2104</v>
      </c>
      <c r="NW130" s="168" t="s">
        <v>28</v>
      </c>
      <c r="NX130" s="168" t="s">
        <v>25</v>
      </c>
      <c r="NY130" s="169">
        <v>42825</v>
      </c>
      <c r="NZ130" s="169">
        <v>42460</v>
      </c>
      <c r="OA130" s="169">
        <v>43031</v>
      </c>
      <c r="OB130" s="168" t="s">
        <v>933</v>
      </c>
      <c r="OC130" s="168">
        <v>12</v>
      </c>
      <c r="OD130" s="168" t="s">
        <v>2105</v>
      </c>
      <c r="OE130" s="168" t="s">
        <v>934</v>
      </c>
      <c r="OF130" s="168" t="s">
        <v>2167</v>
      </c>
      <c r="OG130" s="168" t="s">
        <v>1833</v>
      </c>
      <c r="OH130" s="168" t="s">
        <v>868</v>
      </c>
      <c r="OI130" s="168" t="s">
        <v>766</v>
      </c>
      <c r="OJ130" s="168" t="s">
        <v>3240</v>
      </c>
      <c r="OK130" s="168" t="s">
        <v>822</v>
      </c>
    </row>
    <row r="131" spans="1:401" x14ac:dyDescent="0.2">
      <c r="A131" s="170" t="str">
        <f>Liste[[#This Row],[Siren]]</f>
        <v>343357851</v>
      </c>
      <c r="B131" s="198" t="str">
        <f>Liste[[#This Row],[Dénomination]]&amp;" - comptes "&amp;YEAR(Liste[[#This Row],[Date de cloture de l''exercice]])</f>
        <v>VAL DE FRANCE INFORMATIQUE - comptes 2017</v>
      </c>
      <c r="C131" s="21"/>
      <c r="D131" s="21"/>
      <c r="E131" s="21"/>
      <c r="F131" s="168">
        <v>5859</v>
      </c>
      <c r="G131" s="168">
        <v>5080</v>
      </c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168">
        <v>10548</v>
      </c>
      <c r="BE131" s="168">
        <v>11775</v>
      </c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168">
        <v>4100</v>
      </c>
      <c r="BY131" s="168">
        <v>3267</v>
      </c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168">
        <v>5499</v>
      </c>
      <c r="EM131" s="168">
        <v>5712</v>
      </c>
      <c r="EN131" s="21"/>
      <c r="EO131" s="21"/>
      <c r="EP131" s="168">
        <v>31222</v>
      </c>
      <c r="EQ131" s="168">
        <v>32200</v>
      </c>
      <c r="ER131" s="21"/>
      <c r="ES131" s="21"/>
      <c r="ET131" s="168">
        <v>36721</v>
      </c>
      <c r="EU131" s="168">
        <v>37911</v>
      </c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168">
        <v>9</v>
      </c>
      <c r="FG131" s="168">
        <v>9</v>
      </c>
      <c r="FH131" s="21"/>
      <c r="FI131" s="168">
        <v>38</v>
      </c>
      <c r="FJ131" s="168">
        <v>-6</v>
      </c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168">
        <v>-1084</v>
      </c>
      <c r="FX131" s="168">
        <v>-880</v>
      </c>
      <c r="FY131" s="168">
        <v>99</v>
      </c>
      <c r="FZ131" s="168">
        <v>95</v>
      </c>
      <c r="GA131" s="21"/>
      <c r="GB131" s="21"/>
      <c r="GC131" s="21"/>
      <c r="GD131" s="21"/>
      <c r="GE131" s="21"/>
      <c r="GF131" s="21"/>
      <c r="GG131" s="21"/>
      <c r="GH131" s="21"/>
      <c r="GI131" s="21"/>
      <c r="GJ131" s="21"/>
      <c r="GK131" s="21"/>
      <c r="GL131" s="21"/>
      <c r="GM131" s="168">
        <v>2336</v>
      </c>
      <c r="GN131" s="168">
        <v>1906</v>
      </c>
      <c r="GO131" s="168">
        <v>2336</v>
      </c>
      <c r="GP131" s="168">
        <v>1906</v>
      </c>
      <c r="GQ131" s="21"/>
      <c r="GR131" s="21"/>
      <c r="GS131" s="168">
        <v>2237</v>
      </c>
      <c r="GT131" s="168">
        <v>1811</v>
      </c>
      <c r="GU131" s="21"/>
      <c r="GV131" s="21"/>
      <c r="GW131" s="21"/>
      <c r="GX131" s="21"/>
      <c r="GY131" s="21"/>
      <c r="GZ131" s="21"/>
      <c r="HA131" s="21"/>
      <c r="HB131" s="21"/>
      <c r="HC131" s="21"/>
      <c r="HD131" s="21"/>
      <c r="HE131" s="168">
        <v>3277</v>
      </c>
      <c r="HF131" s="168">
        <v>3128</v>
      </c>
      <c r="HG131" s="21"/>
      <c r="HH131" s="21"/>
      <c r="HI131" s="168">
        <v>304</v>
      </c>
      <c r="HJ131" s="168">
        <v>226</v>
      </c>
      <c r="HK131" s="21"/>
      <c r="HL131" s="21"/>
      <c r="HM131" s="21"/>
      <c r="HN131" s="21"/>
      <c r="HO131" s="21"/>
      <c r="HP131" s="21"/>
      <c r="HQ131" s="21"/>
      <c r="HR131" s="21"/>
      <c r="HS131" s="21"/>
      <c r="HT131" s="21"/>
      <c r="HU131" s="21"/>
      <c r="HV131" s="21"/>
      <c r="HW131" s="21"/>
      <c r="HX131" s="21"/>
      <c r="HY131" s="21"/>
      <c r="HZ131" s="21"/>
      <c r="IA131" s="21"/>
      <c r="IB131" s="21"/>
      <c r="IC131" s="21"/>
      <c r="ID131" s="21"/>
      <c r="IE131" s="168">
        <v>336</v>
      </c>
      <c r="IF131" s="168">
        <v>332</v>
      </c>
      <c r="IG131" s="21"/>
      <c r="IH131" s="21"/>
      <c r="II131" s="21"/>
      <c r="IJ131" s="21"/>
      <c r="IK131" s="21"/>
      <c r="IL131" s="21"/>
      <c r="IM131" s="21"/>
      <c r="IN131" s="21"/>
      <c r="IO131" s="21"/>
      <c r="IP131" s="21"/>
      <c r="IQ131" s="21"/>
      <c r="IR131" s="21"/>
      <c r="IS131" s="21"/>
      <c r="IT131" s="21"/>
      <c r="IU131" s="168">
        <v>3382</v>
      </c>
      <c r="IV131" s="168">
        <v>2792</v>
      </c>
      <c r="IW131" s="168">
        <v>2793</v>
      </c>
      <c r="IX131" s="168">
        <v>2287</v>
      </c>
      <c r="IY131" s="168">
        <v>589</v>
      </c>
      <c r="IZ131" s="168">
        <v>505</v>
      </c>
      <c r="JA131" s="21"/>
      <c r="JB131" s="21"/>
      <c r="JC131" s="21"/>
      <c r="JD131" s="21"/>
      <c r="JE131" s="21"/>
      <c r="JF131" s="21"/>
      <c r="JG131" s="21"/>
      <c r="JH131" s="21"/>
      <c r="JI131" s="168">
        <v>60030</v>
      </c>
      <c r="JJ131" s="168">
        <v>60394</v>
      </c>
      <c r="JK131" s="21"/>
      <c r="JL131" s="21"/>
      <c r="JM131" s="168">
        <v>62823</v>
      </c>
      <c r="JN131" s="168">
        <v>62682</v>
      </c>
      <c r="JO131" s="21"/>
      <c r="JP131" s="21"/>
      <c r="JQ131" s="21"/>
      <c r="JR131" s="21"/>
      <c r="JS131" s="21"/>
      <c r="JT131" s="21"/>
      <c r="JU131" s="21"/>
      <c r="JV131" s="21"/>
      <c r="JW131" s="168">
        <v>62519</v>
      </c>
      <c r="JX131" s="168">
        <v>62456</v>
      </c>
      <c r="JY131" s="21"/>
      <c r="JZ131" s="21"/>
      <c r="KA131" s="21"/>
      <c r="KB131" s="21"/>
      <c r="KC131" s="21"/>
      <c r="KD131" s="21"/>
      <c r="KE131" s="21"/>
      <c r="KF131" s="21"/>
      <c r="KG131" s="21"/>
      <c r="KH131" s="21"/>
      <c r="KI131" s="21"/>
      <c r="KJ131" s="21"/>
      <c r="KK131" s="21"/>
      <c r="KL131" s="21"/>
      <c r="KM131" s="21"/>
      <c r="KN131" s="21"/>
      <c r="KO131" s="21"/>
      <c r="KP131" s="21"/>
      <c r="KQ131" s="21"/>
      <c r="KR131" s="21"/>
      <c r="KS131" s="21"/>
      <c r="KT131" s="21"/>
      <c r="KU131" s="21"/>
      <c r="KV131" s="21"/>
      <c r="KW131" s="21"/>
      <c r="KX131" s="21"/>
      <c r="KY131" s="21"/>
      <c r="KZ131" s="21"/>
      <c r="LA131" s="168">
        <v>46</v>
      </c>
      <c r="LB131" s="168">
        <v>46</v>
      </c>
      <c r="LC131" s="21"/>
      <c r="LD131" s="21"/>
      <c r="LE131" s="21"/>
      <c r="LF131" s="21"/>
      <c r="LG131" s="21"/>
      <c r="LH131" s="21"/>
      <c r="LI131" s="21"/>
      <c r="LJ131" s="21"/>
      <c r="LK131" s="168">
        <v>7647</v>
      </c>
      <c r="LL131" s="168">
        <v>7160</v>
      </c>
      <c r="LM131" s="21"/>
      <c r="LN131" s="21"/>
      <c r="LO131" s="21"/>
      <c r="LP131" s="21"/>
      <c r="LQ131" s="21"/>
      <c r="LR131" s="21"/>
      <c r="LS131" s="21"/>
      <c r="LT131" s="21"/>
      <c r="LU131" s="21"/>
      <c r="LV131" s="21"/>
      <c r="LW131" s="21"/>
      <c r="LX131" s="21"/>
      <c r="LY131" s="21"/>
      <c r="LZ131" s="21"/>
      <c r="MA131" s="21"/>
      <c r="MB131" s="21"/>
      <c r="MC131" s="168">
        <v>13352</v>
      </c>
      <c r="MD131" s="168">
        <v>16837</v>
      </c>
      <c r="ME131" s="21"/>
      <c r="MF131" s="21"/>
      <c r="MG131" s="21"/>
      <c r="MH131" s="21"/>
      <c r="MI131" s="21"/>
      <c r="MJ131" s="21"/>
      <c r="MK131" s="21"/>
      <c r="ML131" s="21"/>
      <c r="MM131" s="21"/>
      <c r="MN131" s="21"/>
      <c r="MO131" s="21"/>
      <c r="MP131" s="21"/>
      <c r="MQ131" s="21"/>
      <c r="MR131" s="21"/>
      <c r="MS131" s="21"/>
      <c r="MT131" s="21"/>
      <c r="MU131" s="21"/>
      <c r="MV131" s="21"/>
      <c r="MW131" s="21"/>
      <c r="MX131" s="21"/>
      <c r="MY131" s="21"/>
      <c r="MZ131" s="21"/>
      <c r="NA131" s="21"/>
      <c r="NB131" s="21"/>
      <c r="NC131" s="21"/>
      <c r="ND131" s="21"/>
      <c r="NE131" s="21"/>
      <c r="NF131" s="21"/>
      <c r="NG131" s="168">
        <v>13393</v>
      </c>
      <c r="NH131" s="168">
        <v>11706</v>
      </c>
      <c r="NI131" s="21"/>
      <c r="NJ131" s="21"/>
      <c r="NK131" s="168">
        <v>257</v>
      </c>
      <c r="NL131" s="168">
        <v>249</v>
      </c>
      <c r="NM131" s="168">
        <v>22922</v>
      </c>
      <c r="NN131" s="168">
        <v>25805</v>
      </c>
      <c r="NO131" s="168">
        <v>36721</v>
      </c>
      <c r="NP131" s="168">
        <v>37911</v>
      </c>
      <c r="NQ131" s="168" t="s">
        <v>1245</v>
      </c>
      <c r="NR131" s="168" t="s">
        <v>769</v>
      </c>
      <c r="NS131" s="168" t="s">
        <v>770</v>
      </c>
      <c r="NT131" s="168" t="s">
        <v>771</v>
      </c>
      <c r="NU131" s="168">
        <v>3701</v>
      </c>
      <c r="NV131" s="168" t="s">
        <v>2104</v>
      </c>
      <c r="NW131" s="168" t="s">
        <v>28</v>
      </c>
      <c r="NX131" s="168" t="s">
        <v>25</v>
      </c>
      <c r="NY131" s="169">
        <v>42825</v>
      </c>
      <c r="NZ131" s="169">
        <v>42460</v>
      </c>
      <c r="OA131" s="169">
        <v>43088</v>
      </c>
      <c r="OB131" s="168" t="s">
        <v>1246</v>
      </c>
      <c r="OC131" s="168">
        <v>12</v>
      </c>
      <c r="OD131" s="168" t="s">
        <v>2105</v>
      </c>
      <c r="OE131" s="168" t="s">
        <v>2394</v>
      </c>
      <c r="OF131" s="168" t="s">
        <v>2395</v>
      </c>
      <c r="OG131" s="168" t="s">
        <v>1933</v>
      </c>
      <c r="OH131" s="168" t="s">
        <v>912</v>
      </c>
      <c r="OI131" s="168" t="s">
        <v>766</v>
      </c>
      <c r="OJ131" s="168" t="s">
        <v>3240</v>
      </c>
      <c r="OK131" s="168" t="s">
        <v>767</v>
      </c>
    </row>
    <row r="132" spans="1:401" x14ac:dyDescent="0.2">
      <c r="A132" s="170" t="str">
        <f>Liste[[#This Row],[Siren]]</f>
        <v>439359787</v>
      </c>
      <c r="B132" s="198" t="str">
        <f>Liste[[#This Row],[Dénomination]]&amp;" - comptes "&amp;YEAR(Liste[[#This Row],[Date de cloture de l''exercice]])</f>
        <v>ESLC ENERGIES - comptes 2017</v>
      </c>
      <c r="C132" s="21"/>
      <c r="D132" s="21"/>
      <c r="E132" s="168">
        <v>200000</v>
      </c>
      <c r="F132" s="168">
        <v>3087725</v>
      </c>
      <c r="G132" s="168">
        <v>3023781</v>
      </c>
      <c r="H132" s="168">
        <v>3287725</v>
      </c>
      <c r="I132" s="168">
        <v>6484667</v>
      </c>
      <c r="J132" s="168">
        <v>2960144</v>
      </c>
      <c r="K132" s="168">
        <v>2772337</v>
      </c>
      <c r="L132" s="168">
        <v>9444811</v>
      </c>
      <c r="M132" s="21"/>
      <c r="N132" s="168">
        <v>72079</v>
      </c>
      <c r="O132" s="168">
        <v>62886</v>
      </c>
      <c r="P132" s="168">
        <v>72079</v>
      </c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168">
        <v>193606</v>
      </c>
      <c r="AM132" s="168">
        <v>16949</v>
      </c>
      <c r="AN132" s="168">
        <v>193606</v>
      </c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168">
        <v>339583</v>
      </c>
      <c r="BA132" s="168">
        <v>384824</v>
      </c>
      <c r="BB132" s="168">
        <v>339583</v>
      </c>
      <c r="BC132" s="168">
        <v>642441</v>
      </c>
      <c r="BD132" s="168">
        <v>26976795</v>
      </c>
      <c r="BE132" s="168">
        <v>24956176</v>
      </c>
      <c r="BF132" s="168">
        <v>27619236</v>
      </c>
      <c r="BG132" s="168">
        <v>396253</v>
      </c>
      <c r="BH132" s="168">
        <v>68623</v>
      </c>
      <c r="BI132" s="168">
        <v>56091</v>
      </c>
      <c r="BJ132" s="168">
        <v>464876</v>
      </c>
      <c r="BK132" s="168">
        <v>2140271</v>
      </c>
      <c r="BL132" s="168">
        <v>1119278</v>
      </c>
      <c r="BM132" s="168">
        <v>1168982</v>
      </c>
      <c r="BN132" s="168">
        <v>3259549</v>
      </c>
      <c r="BO132" s="21"/>
      <c r="BP132" s="21"/>
      <c r="BQ132" s="21"/>
      <c r="BR132" s="21"/>
      <c r="BS132" s="21"/>
      <c r="BT132" s="21"/>
      <c r="BU132" s="21"/>
      <c r="BV132" s="21"/>
      <c r="BW132" s="21"/>
      <c r="BX132" s="168">
        <v>1881105</v>
      </c>
      <c r="BY132" s="168">
        <v>1829730</v>
      </c>
      <c r="BZ132" s="168">
        <v>1881105</v>
      </c>
      <c r="CA132" s="21"/>
      <c r="CB132" s="21"/>
      <c r="CC132" s="21"/>
      <c r="CD132" s="168">
        <v>164755</v>
      </c>
      <c r="CE132" s="168">
        <v>7648914</v>
      </c>
      <c r="CF132" s="168">
        <v>7648914</v>
      </c>
      <c r="CG132" s="168">
        <v>7813669</v>
      </c>
      <c r="CH132" s="21"/>
      <c r="CI132" s="21"/>
      <c r="CJ132" s="21"/>
      <c r="CK132" s="21"/>
      <c r="CL132" s="21"/>
      <c r="CM132" s="21"/>
      <c r="CN132" s="21"/>
      <c r="CO132" s="21"/>
      <c r="CP132" s="21"/>
      <c r="CQ132" s="168">
        <v>212338</v>
      </c>
      <c r="CR132" s="168">
        <v>212338</v>
      </c>
      <c r="CS132" s="168">
        <v>212338</v>
      </c>
      <c r="CT132" s="21"/>
      <c r="CU132" s="21"/>
      <c r="CV132" s="21"/>
      <c r="CW132" s="21"/>
      <c r="CX132" s="21"/>
      <c r="CY132" s="21"/>
      <c r="CZ132" s="21"/>
      <c r="DA132" s="21"/>
      <c r="DB132" s="21"/>
      <c r="DC132" s="168">
        <v>279121</v>
      </c>
      <c r="DD132" s="168">
        <v>21888</v>
      </c>
      <c r="DE132" s="168">
        <v>279121</v>
      </c>
      <c r="DF132" s="168">
        <v>1230426</v>
      </c>
      <c r="DG132" s="168">
        <v>490010</v>
      </c>
      <c r="DH132" s="168">
        <v>465272</v>
      </c>
      <c r="DI132" s="168">
        <v>1720437</v>
      </c>
      <c r="DJ132" s="21"/>
      <c r="DK132" s="168">
        <v>5497143</v>
      </c>
      <c r="DL132" s="168">
        <v>5748839</v>
      </c>
      <c r="DM132" s="168">
        <v>5497143</v>
      </c>
      <c r="DN132" s="21"/>
      <c r="DO132" s="21"/>
      <c r="DP132" s="21"/>
      <c r="DQ132" s="21"/>
      <c r="DR132" s="21"/>
      <c r="DS132" s="21"/>
      <c r="DT132" s="21"/>
      <c r="DU132" s="21"/>
      <c r="DV132" s="168">
        <v>5160</v>
      </c>
      <c r="DW132" s="168">
        <v>1357894</v>
      </c>
      <c r="DX132" s="168">
        <v>1355821</v>
      </c>
      <c r="DY132" s="168">
        <v>1363054</v>
      </c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168">
        <v>10437214</v>
      </c>
      <c r="EL132" s="168">
        <v>14295782</v>
      </c>
      <c r="EM132" s="168">
        <v>13854077</v>
      </c>
      <c r="EN132" s="168">
        <v>24732997</v>
      </c>
      <c r="EO132" s="168">
        <v>842441</v>
      </c>
      <c r="EP132" s="168">
        <v>37975956</v>
      </c>
      <c r="EQ132" s="168">
        <v>35960299</v>
      </c>
      <c r="ER132" s="168">
        <v>38818397</v>
      </c>
      <c r="ES132" s="168">
        <v>11279656</v>
      </c>
      <c r="ET132" s="168">
        <v>52271738</v>
      </c>
      <c r="EU132" s="168">
        <v>49814376</v>
      </c>
      <c r="EV132" s="168">
        <v>63551394</v>
      </c>
      <c r="EW132" s="168">
        <v>15682</v>
      </c>
      <c r="EX132" s="168">
        <v>87381</v>
      </c>
      <c r="EY132" s="168">
        <v>89548</v>
      </c>
      <c r="EZ132" s="168">
        <v>103063</v>
      </c>
      <c r="FA132" s="21"/>
      <c r="FB132" s="21"/>
      <c r="FC132" s="21"/>
      <c r="FD132" s="21"/>
      <c r="FE132" s="21"/>
      <c r="FF132" s="21"/>
      <c r="FG132" s="21"/>
      <c r="FH132" s="21"/>
      <c r="FI132" s="168">
        <v>108836</v>
      </c>
      <c r="FJ132" s="168">
        <v>103785</v>
      </c>
      <c r="FK132" s="21"/>
      <c r="FL132" s="21"/>
      <c r="FM132" s="168">
        <v>37012</v>
      </c>
      <c r="FN132" s="168">
        <v>99504</v>
      </c>
      <c r="FO132" s="168">
        <v>81358</v>
      </c>
      <c r="FP132" s="168">
        <v>271673</v>
      </c>
      <c r="FQ132" s="21"/>
      <c r="FR132" s="21"/>
      <c r="FS132" s="21"/>
      <c r="FT132" s="168">
        <v>4341</v>
      </c>
      <c r="FU132" s="21"/>
      <c r="FV132" s="21"/>
      <c r="FW132" s="168">
        <v>434000</v>
      </c>
      <c r="FX132" s="168">
        <v>95095</v>
      </c>
      <c r="FY132" s="168">
        <v>-30326</v>
      </c>
      <c r="FZ132" s="168">
        <v>-13871</v>
      </c>
      <c r="GA132" s="21"/>
      <c r="GB132" s="21"/>
      <c r="GC132" s="168">
        <v>110102</v>
      </c>
      <c r="GD132" s="168">
        <v>116501</v>
      </c>
      <c r="GE132" s="168">
        <v>108946</v>
      </c>
      <c r="GF132" s="168">
        <v>150456</v>
      </c>
      <c r="GG132" s="21"/>
      <c r="GH132" s="21"/>
      <c r="GI132" s="21"/>
      <c r="GJ132" s="21"/>
      <c r="GK132" s="168">
        <v>8158</v>
      </c>
      <c r="GL132" s="168">
        <v>212347</v>
      </c>
      <c r="GM132" s="21"/>
      <c r="GN132" s="21"/>
      <c r="GO132" s="168">
        <v>1409622</v>
      </c>
      <c r="GP132" s="168">
        <v>964130</v>
      </c>
      <c r="GQ132" s="21"/>
      <c r="GR132" s="21"/>
      <c r="GS132" s="168">
        <v>1379296</v>
      </c>
      <c r="GT132" s="168">
        <v>950260</v>
      </c>
      <c r="GU132" s="168">
        <v>118370</v>
      </c>
      <c r="GV132" s="168">
        <v>375518</v>
      </c>
      <c r="GW132" s="168">
        <v>227207</v>
      </c>
      <c r="GX132" s="168">
        <v>479304</v>
      </c>
      <c r="GY132" s="168">
        <v>155831473</v>
      </c>
      <c r="GZ132" s="168">
        <v>153122367</v>
      </c>
      <c r="HA132" s="21"/>
      <c r="HB132" s="21"/>
      <c r="HC132" s="168">
        <v>7018358</v>
      </c>
      <c r="HD132" s="168">
        <v>6898612</v>
      </c>
      <c r="HE132" s="168">
        <v>1265987</v>
      </c>
      <c r="HF132" s="168">
        <v>1060136</v>
      </c>
      <c r="HG132" s="168">
        <v>6823</v>
      </c>
      <c r="HH132" s="168">
        <v>7735</v>
      </c>
      <c r="HI132" s="168">
        <v>69952</v>
      </c>
      <c r="HJ132" s="168">
        <v>78025</v>
      </c>
      <c r="HK132" s="21"/>
      <c r="HL132" s="21"/>
      <c r="HM132" s="21"/>
      <c r="HN132" s="21"/>
      <c r="HO132" s="168">
        <v>2939167</v>
      </c>
      <c r="HP132" s="168">
        <v>3002458</v>
      </c>
      <c r="HQ132" s="168">
        <v>95</v>
      </c>
      <c r="HR132" s="21"/>
      <c r="HS132" s="21"/>
      <c r="HT132" s="21"/>
      <c r="HU132" s="168">
        <v>1176968</v>
      </c>
      <c r="HV132" s="168">
        <v>1269519</v>
      </c>
      <c r="HW132" s="21"/>
      <c r="HX132" s="21"/>
      <c r="HY132" s="168">
        <v>39370</v>
      </c>
      <c r="HZ132" s="168">
        <v>98952</v>
      </c>
      <c r="IA132" s="168">
        <v>259359</v>
      </c>
      <c r="IB132" s="168">
        <v>806857</v>
      </c>
      <c r="IC132" s="168">
        <v>840</v>
      </c>
      <c r="ID132" s="168">
        <v>1440</v>
      </c>
      <c r="IE132" s="168">
        <v>748866</v>
      </c>
      <c r="IF132" s="168">
        <v>663535</v>
      </c>
      <c r="IG132" s="168">
        <v>133383</v>
      </c>
      <c r="IH132" s="168">
        <v>145593</v>
      </c>
      <c r="II132" s="21"/>
      <c r="IJ132" s="21"/>
      <c r="IK132" s="168">
        <v>997</v>
      </c>
      <c r="IL132" s="168">
        <v>1160</v>
      </c>
      <c r="IM132" s="21"/>
      <c r="IN132" s="21"/>
      <c r="IO132" s="168">
        <v>30008</v>
      </c>
      <c r="IP132" s="168">
        <v>13635</v>
      </c>
      <c r="IQ132" s="21"/>
      <c r="IR132" s="21"/>
      <c r="IS132" s="21"/>
      <c r="IT132" s="21"/>
      <c r="IU132" s="168">
        <v>1734786</v>
      </c>
      <c r="IV132" s="168">
        <v>955440</v>
      </c>
      <c r="IW132" s="168">
        <v>1832272</v>
      </c>
      <c r="IX132" s="168">
        <v>1080522</v>
      </c>
      <c r="IY132" s="168">
        <v>-97487</v>
      </c>
      <c r="IZ132" s="168">
        <v>-125083</v>
      </c>
      <c r="JA132" s="168">
        <v>874475</v>
      </c>
      <c r="JB132" s="168">
        <v>631208</v>
      </c>
      <c r="JC132" s="21"/>
      <c r="JD132" s="168">
        <v>580</v>
      </c>
      <c r="JE132" s="168">
        <v>7792432</v>
      </c>
      <c r="JF132" s="168">
        <v>7575282</v>
      </c>
      <c r="JG132" s="168">
        <v>4133</v>
      </c>
      <c r="JH132" s="168">
        <v>3000</v>
      </c>
      <c r="JI132" s="168">
        <v>177637346</v>
      </c>
      <c r="JJ132" s="168">
        <v>171950607</v>
      </c>
      <c r="JK132" s="168">
        <v>134318</v>
      </c>
      <c r="JL132" s="168">
        <v>147033</v>
      </c>
      <c r="JM132" s="168">
        <v>179469618</v>
      </c>
      <c r="JN132" s="168">
        <v>173031129</v>
      </c>
      <c r="JO132" s="168">
        <v>36832</v>
      </c>
      <c r="JP132" s="168">
        <v>21951</v>
      </c>
      <c r="JQ132" s="168">
        <v>565366</v>
      </c>
      <c r="JR132" s="168">
        <v>-2547111</v>
      </c>
      <c r="JS132" s="21"/>
      <c r="JT132" s="21"/>
      <c r="JU132" s="21"/>
      <c r="JV132" s="168">
        <v>178520060</v>
      </c>
      <c r="JW132" s="168">
        <v>178520060</v>
      </c>
      <c r="JX132" s="168">
        <v>172317737</v>
      </c>
      <c r="JY132" s="21"/>
      <c r="JZ132" s="21"/>
      <c r="KA132" s="21"/>
      <c r="KB132" s="21"/>
      <c r="KC132" s="21"/>
      <c r="KD132" s="168">
        <v>3109350</v>
      </c>
      <c r="KE132" s="168">
        <v>3109350</v>
      </c>
      <c r="KF132" s="168">
        <v>3121416</v>
      </c>
      <c r="KG132" s="21"/>
      <c r="KH132" s="168">
        <v>175410710</v>
      </c>
      <c r="KI132" s="168">
        <v>175410710</v>
      </c>
      <c r="KJ132" s="168">
        <v>169196320</v>
      </c>
      <c r="KK132" s="21"/>
      <c r="KL132" s="21"/>
      <c r="KM132" s="21"/>
      <c r="KN132" s="21"/>
      <c r="KO132" s="21"/>
      <c r="KP132" s="21"/>
      <c r="KQ132" s="168">
        <v>3544991</v>
      </c>
      <c r="KR132" s="168">
        <v>4843493</v>
      </c>
      <c r="KS132" s="21"/>
      <c r="KT132" s="21"/>
      <c r="KU132" s="21"/>
      <c r="KV132" s="21"/>
      <c r="KW132" s="21"/>
      <c r="KX132" s="21"/>
      <c r="KY132" s="21"/>
      <c r="KZ132" s="21"/>
      <c r="LA132" s="168">
        <v>305000</v>
      </c>
      <c r="LB132" s="168">
        <v>305000</v>
      </c>
      <c r="LC132" s="21"/>
      <c r="LD132" s="21"/>
      <c r="LE132" s="21"/>
      <c r="LF132" s="21"/>
      <c r="LG132" s="21"/>
      <c r="LH132" s="21"/>
      <c r="LI132" s="168">
        <v>4558692</v>
      </c>
      <c r="LJ132" s="168">
        <v>3988022</v>
      </c>
      <c r="LK132" s="168">
        <v>14342636</v>
      </c>
      <c r="LL132" s="168">
        <v>13727042</v>
      </c>
      <c r="LM132" s="168">
        <v>59872</v>
      </c>
      <c r="LN132" s="168">
        <v>39279</v>
      </c>
      <c r="LO132" s="21"/>
      <c r="LP132" s="21"/>
      <c r="LQ132" s="21"/>
      <c r="LR132" s="21"/>
      <c r="LS132" s="21"/>
      <c r="LT132" s="21"/>
      <c r="LU132" s="21"/>
      <c r="LV132" s="21"/>
      <c r="LW132" s="21"/>
      <c r="LX132" s="21"/>
      <c r="LY132" s="21"/>
      <c r="LZ132" s="21"/>
      <c r="MA132" s="168">
        <v>13912764</v>
      </c>
      <c r="MB132" s="168">
        <v>12231857</v>
      </c>
      <c r="MC132" s="168">
        <v>1500</v>
      </c>
      <c r="MD132" s="168">
        <v>1500</v>
      </c>
      <c r="ME132" s="21"/>
      <c r="MF132" s="21"/>
      <c r="MG132" s="21"/>
      <c r="MH132" s="21"/>
      <c r="MI132" s="21"/>
      <c r="MJ132" s="21"/>
      <c r="MK132" s="21"/>
      <c r="ML132" s="21"/>
      <c r="MM132" s="168">
        <v>578200</v>
      </c>
      <c r="MN132" s="168">
        <v>571700</v>
      </c>
      <c r="MO132" s="168">
        <v>15135</v>
      </c>
      <c r="MP132" s="168">
        <v>48133</v>
      </c>
      <c r="MQ132" s="168">
        <v>461941</v>
      </c>
      <c r="MR132" s="168">
        <v>495067</v>
      </c>
      <c r="MS132" s="21"/>
      <c r="MT132" s="21"/>
      <c r="MU132" s="168">
        <v>5326622</v>
      </c>
      <c r="MV132" s="168">
        <v>4158236</v>
      </c>
      <c r="MW132" s="168">
        <v>30500</v>
      </c>
      <c r="MX132" s="168">
        <v>30500</v>
      </c>
      <c r="MY132" s="21"/>
      <c r="MZ132" s="21"/>
      <c r="NA132" s="21"/>
      <c r="NB132" s="21"/>
      <c r="NC132" s="168">
        <v>1379296</v>
      </c>
      <c r="ND132" s="168">
        <v>950260</v>
      </c>
      <c r="NE132" s="21"/>
      <c r="NF132" s="21"/>
      <c r="NG132" s="168">
        <v>14448838</v>
      </c>
      <c r="NH132" s="168">
        <v>13551443</v>
      </c>
      <c r="NI132" s="168">
        <v>14796007</v>
      </c>
      <c r="NJ132" s="168">
        <v>13868285</v>
      </c>
      <c r="NK132" s="168">
        <v>347169</v>
      </c>
      <c r="NL132" s="168">
        <v>316842</v>
      </c>
      <c r="NM132" s="168">
        <v>36998655</v>
      </c>
      <c r="NN132" s="168">
        <v>35402892</v>
      </c>
      <c r="NO132" s="168">
        <v>52271738</v>
      </c>
      <c r="NP132" s="168">
        <v>49814376</v>
      </c>
      <c r="NQ132" s="168" t="s">
        <v>987</v>
      </c>
      <c r="NR132" s="168" t="s">
        <v>779</v>
      </c>
      <c r="NS132" s="168" t="s">
        <v>770</v>
      </c>
      <c r="NT132" s="168" t="s">
        <v>771</v>
      </c>
      <c r="NU132" s="168">
        <v>6901</v>
      </c>
      <c r="NV132" s="168" t="s">
        <v>2104</v>
      </c>
      <c r="NW132" s="168" t="s">
        <v>28</v>
      </c>
      <c r="NX132" s="168" t="s">
        <v>25</v>
      </c>
      <c r="NY132" s="169">
        <v>42825</v>
      </c>
      <c r="NZ132" s="169">
        <v>42460</v>
      </c>
      <c r="OA132" s="169">
        <v>43063</v>
      </c>
      <c r="OB132" s="168" t="s">
        <v>1274</v>
      </c>
      <c r="OC132" s="168">
        <v>12</v>
      </c>
      <c r="OD132" s="168" t="s">
        <v>2106</v>
      </c>
      <c r="OE132" s="168" t="s">
        <v>1275</v>
      </c>
      <c r="OF132" s="168" t="s">
        <v>2419</v>
      </c>
      <c r="OG132" s="168" t="s">
        <v>1947</v>
      </c>
      <c r="OH132" s="168" t="s">
        <v>819</v>
      </c>
      <c r="OI132" s="168" t="s">
        <v>766</v>
      </c>
      <c r="OJ132" s="168" t="s">
        <v>3240</v>
      </c>
      <c r="OK132" s="168" t="s">
        <v>778</v>
      </c>
    </row>
    <row r="133" spans="1:401" x14ac:dyDescent="0.2">
      <c r="A133" s="170" t="str">
        <f>Liste[[#This Row],[Siren]]</f>
        <v>332335322</v>
      </c>
      <c r="B133" s="198" t="str">
        <f>Liste[[#This Row],[Dénomination]]&amp;" - comptes "&amp;YEAR(Liste[[#This Row],[Date de cloture de l''exercice]])</f>
        <v>RECUP. 44 - comptes 2017</v>
      </c>
      <c r="C133" s="21"/>
      <c r="D133" s="21"/>
      <c r="E133" s="21"/>
      <c r="F133" s="168">
        <v>5517440</v>
      </c>
      <c r="G133" s="168">
        <v>3535683</v>
      </c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168">
        <v>20342547</v>
      </c>
      <c r="BE133" s="168">
        <v>10176859</v>
      </c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168">
        <v>6251356</v>
      </c>
      <c r="BY133" s="168">
        <v>929631</v>
      </c>
      <c r="BZ133" s="21"/>
      <c r="CA133" s="21"/>
      <c r="CB133" s="21"/>
      <c r="CC133" s="21"/>
      <c r="CD133" s="21"/>
      <c r="CE133" s="168">
        <v>1356189</v>
      </c>
      <c r="CF133" s="168">
        <v>456386</v>
      </c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168">
        <v>11504955</v>
      </c>
      <c r="EM133" s="168">
        <v>10380331</v>
      </c>
      <c r="EN133" s="21"/>
      <c r="EO133" s="21"/>
      <c r="EP133" s="168">
        <v>58387834</v>
      </c>
      <c r="EQ133" s="168">
        <v>36337097</v>
      </c>
      <c r="ER133" s="21"/>
      <c r="ES133" s="21"/>
      <c r="ET133" s="168">
        <v>69892789</v>
      </c>
      <c r="EU133" s="168">
        <v>46717428</v>
      </c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168">
        <v>150</v>
      </c>
      <c r="FH133" s="21"/>
      <c r="FI133" s="168">
        <v>-102156</v>
      </c>
      <c r="FJ133" s="168">
        <v>-152797</v>
      </c>
      <c r="FK133" s="21"/>
      <c r="FL133" s="21"/>
      <c r="FM133" s="21"/>
      <c r="FN133" s="21"/>
      <c r="FO133" s="21"/>
      <c r="FP133" s="21"/>
      <c r="FQ133" s="168">
        <v>10561</v>
      </c>
      <c r="FR133" s="168">
        <v>-80715</v>
      </c>
      <c r="FS133" s="21"/>
      <c r="FT133" s="21"/>
      <c r="FU133" s="21"/>
      <c r="FV133" s="21"/>
      <c r="FW133" s="168">
        <v>-1262920</v>
      </c>
      <c r="FX133" s="168">
        <v>-608140</v>
      </c>
      <c r="FY133" s="168">
        <v>543201</v>
      </c>
      <c r="FZ133" s="168">
        <v>202406</v>
      </c>
      <c r="GA133" s="21"/>
      <c r="GB133" s="21"/>
      <c r="GC133" s="21"/>
      <c r="GD133" s="21"/>
      <c r="GE133" s="21"/>
      <c r="GF133" s="21"/>
      <c r="GG133" s="21"/>
      <c r="GH133" s="21"/>
      <c r="GI133" s="21"/>
      <c r="GJ133" s="21"/>
      <c r="GK133" s="21"/>
      <c r="GL133" s="21"/>
      <c r="GM133" s="168">
        <v>2263409</v>
      </c>
      <c r="GN133" s="168">
        <v>1148021</v>
      </c>
      <c r="GO133" s="168">
        <v>1415769</v>
      </c>
      <c r="GP133" s="168">
        <v>641774</v>
      </c>
      <c r="GQ133" s="168">
        <v>837079</v>
      </c>
      <c r="GR133" s="168">
        <v>586962</v>
      </c>
      <c r="GS133" s="168">
        <v>1720208</v>
      </c>
      <c r="GT133" s="168">
        <v>945615</v>
      </c>
      <c r="GU133" s="21"/>
      <c r="GV133" s="21"/>
      <c r="GW133" s="21"/>
      <c r="GX133" s="21"/>
      <c r="GY133" s="21"/>
      <c r="GZ133" s="21"/>
      <c r="HA133" s="21"/>
      <c r="HB133" s="21"/>
      <c r="HC133" s="168">
        <v>13280858</v>
      </c>
      <c r="HD133" s="168">
        <v>11308546</v>
      </c>
      <c r="HE133" s="168">
        <v>134678</v>
      </c>
      <c r="HF133" s="168">
        <v>155510</v>
      </c>
      <c r="HG133" s="21"/>
      <c r="HH133" s="21"/>
      <c r="HI133" s="168">
        <v>1296745</v>
      </c>
      <c r="HJ133" s="168">
        <v>2425863</v>
      </c>
      <c r="HK133" s="21"/>
      <c r="HL133" s="21"/>
      <c r="HM133" s="21"/>
      <c r="HN133" s="21"/>
      <c r="HO133" s="168">
        <v>-15450171</v>
      </c>
      <c r="HP133" s="168">
        <v>-11957808</v>
      </c>
      <c r="HQ133" s="21"/>
      <c r="HR133" s="21"/>
      <c r="HS133" s="21"/>
      <c r="HT133" s="21"/>
      <c r="HU133" s="21"/>
      <c r="HV133" s="21"/>
      <c r="HW133" s="21"/>
      <c r="HX133" s="21"/>
      <c r="HY133" s="21"/>
      <c r="HZ133" s="21"/>
      <c r="IA133" s="21"/>
      <c r="IB133" s="21"/>
      <c r="IC133" s="21"/>
      <c r="ID133" s="21"/>
      <c r="IE133" s="168">
        <v>1574604</v>
      </c>
      <c r="IF133" s="168">
        <v>1071162</v>
      </c>
      <c r="IG133" s="21"/>
      <c r="IH133" s="21"/>
      <c r="II133" s="21"/>
      <c r="IJ133" s="21"/>
      <c r="IK133" s="21"/>
      <c r="IL133" s="21"/>
      <c r="IM133" s="21"/>
      <c r="IN133" s="21"/>
      <c r="IO133" s="21"/>
      <c r="IP133" s="21"/>
      <c r="IQ133" s="21"/>
      <c r="IR133" s="21"/>
      <c r="IS133" s="21"/>
      <c r="IT133" s="21"/>
      <c r="IU133" s="168">
        <v>2780845</v>
      </c>
      <c r="IV133" s="168">
        <v>1402711</v>
      </c>
      <c r="IW133" s="168">
        <v>2996339</v>
      </c>
      <c r="IX133" s="168">
        <v>1688231</v>
      </c>
      <c r="IY133" s="168">
        <v>-215494</v>
      </c>
      <c r="IZ133" s="168">
        <v>-285520</v>
      </c>
      <c r="JA133" s="21"/>
      <c r="JB133" s="21"/>
      <c r="JC133" s="21"/>
      <c r="JD133" s="21"/>
      <c r="JE133" s="21"/>
      <c r="JF133" s="21"/>
      <c r="JG133" s="21"/>
      <c r="JH133" s="21"/>
      <c r="JI133" s="168">
        <v>106627595</v>
      </c>
      <c r="JJ133" s="168">
        <v>82304332</v>
      </c>
      <c r="JK133" s="21"/>
      <c r="JL133" s="21"/>
      <c r="JM133" s="168">
        <v>109623934</v>
      </c>
      <c r="JN133" s="168">
        <v>83992563</v>
      </c>
      <c r="JO133" s="21"/>
      <c r="JP133" s="21"/>
      <c r="JQ133" s="21"/>
      <c r="JR133" s="21"/>
      <c r="JS133" s="21"/>
      <c r="JT133" s="21"/>
      <c r="JU133" s="21"/>
      <c r="JV133" s="21"/>
      <c r="JW133" s="168">
        <v>108327189</v>
      </c>
      <c r="JX133" s="168">
        <v>81566700</v>
      </c>
      <c r="JY133" s="21"/>
      <c r="JZ133" s="21"/>
      <c r="KA133" s="21"/>
      <c r="KB133" s="21"/>
      <c r="KC133" s="21"/>
      <c r="KD133" s="21"/>
      <c r="KE133" s="21"/>
      <c r="KF133" s="21"/>
      <c r="KG133" s="21"/>
      <c r="KH133" s="21"/>
      <c r="KI133" s="21"/>
      <c r="KJ133" s="21"/>
      <c r="KK133" s="21"/>
      <c r="KL133" s="21"/>
      <c r="KM133" s="21"/>
      <c r="KN133" s="21"/>
      <c r="KO133" s="21"/>
      <c r="KP133" s="21"/>
      <c r="KQ133" s="21"/>
      <c r="KR133" s="21"/>
      <c r="KS133" s="21"/>
      <c r="KT133" s="21"/>
      <c r="KU133" s="21"/>
      <c r="KV133" s="21"/>
      <c r="KW133" s="21"/>
      <c r="KX133" s="21"/>
      <c r="KY133" s="21"/>
      <c r="KZ133" s="21"/>
      <c r="LA133" s="168">
        <v>8000</v>
      </c>
      <c r="LB133" s="168">
        <v>8000</v>
      </c>
      <c r="LC133" s="21"/>
      <c r="LD133" s="21"/>
      <c r="LE133" s="21"/>
      <c r="LF133" s="21"/>
      <c r="LG133" s="21"/>
      <c r="LH133" s="21"/>
      <c r="LI133" s="21"/>
      <c r="LJ133" s="21"/>
      <c r="LK133" s="168">
        <v>25222212</v>
      </c>
      <c r="LL133" s="168">
        <v>16449532</v>
      </c>
      <c r="LM133" s="21"/>
      <c r="LN133" s="21"/>
      <c r="LO133" s="21"/>
      <c r="LP133" s="21"/>
      <c r="LQ133" s="21"/>
      <c r="LR133" s="21"/>
      <c r="LS133" s="21"/>
      <c r="LT133" s="21"/>
      <c r="LU133" s="21"/>
      <c r="LV133" s="21"/>
      <c r="LW133" s="21"/>
      <c r="LX133" s="21"/>
      <c r="LY133" s="21"/>
      <c r="LZ133" s="21"/>
      <c r="MA133" s="21"/>
      <c r="MB133" s="21"/>
      <c r="MC133" s="168">
        <v>5861613</v>
      </c>
      <c r="MD133" s="168">
        <v>3087897</v>
      </c>
      <c r="ME133" s="21"/>
      <c r="MF133" s="21"/>
      <c r="MG133" s="168">
        <v>95546</v>
      </c>
      <c r="MH133" s="168">
        <v>513756</v>
      </c>
      <c r="MI133" s="21"/>
      <c r="MJ133" s="21"/>
      <c r="MK133" s="21"/>
      <c r="ML133" s="21"/>
      <c r="MM133" s="21"/>
      <c r="MN133" s="21"/>
      <c r="MO133" s="21"/>
      <c r="MP133" s="21"/>
      <c r="MQ133" s="21"/>
      <c r="MR133" s="21"/>
      <c r="MS133" s="21"/>
      <c r="MT133" s="21"/>
      <c r="MU133" s="21"/>
      <c r="MV133" s="21"/>
      <c r="MW133" s="21"/>
      <c r="MX133" s="21"/>
      <c r="MY133" s="21"/>
      <c r="MZ133" s="21"/>
      <c r="NA133" s="21"/>
      <c r="NB133" s="21"/>
      <c r="NC133" s="168">
        <v>1720208</v>
      </c>
      <c r="ND133" s="168">
        <v>945615</v>
      </c>
      <c r="NE133" s="21"/>
      <c r="NF133" s="21"/>
      <c r="NG133" s="168">
        <v>18845244</v>
      </c>
      <c r="NH133" s="168">
        <v>17225038</v>
      </c>
      <c r="NI133" s="21"/>
      <c r="NJ133" s="21"/>
      <c r="NK133" s="168">
        <v>4857138</v>
      </c>
      <c r="NL133" s="168">
        <v>3344473</v>
      </c>
      <c r="NM133" s="168">
        <v>44466506</v>
      </c>
      <c r="NN133" s="168">
        <v>24635211</v>
      </c>
      <c r="NO133" s="168">
        <v>69892786</v>
      </c>
      <c r="NP133" s="168">
        <v>46717428</v>
      </c>
      <c r="NQ133" s="168" t="s">
        <v>1312</v>
      </c>
      <c r="NR133" s="168" t="s">
        <v>3258</v>
      </c>
      <c r="NS133" s="168" t="s">
        <v>770</v>
      </c>
      <c r="NT133" s="168" t="s">
        <v>771</v>
      </c>
      <c r="NU133" s="168">
        <v>4401</v>
      </c>
      <c r="NV133" s="168" t="s">
        <v>2104</v>
      </c>
      <c r="NW133" s="168" t="s">
        <v>28</v>
      </c>
      <c r="NX133" s="168" t="s">
        <v>25</v>
      </c>
      <c r="NY133" s="169">
        <v>42825</v>
      </c>
      <c r="NZ133" s="169">
        <v>42460</v>
      </c>
      <c r="OA133" s="169">
        <v>43089</v>
      </c>
      <c r="OB133" s="168" t="s">
        <v>3259</v>
      </c>
      <c r="OC133" s="168">
        <v>12</v>
      </c>
      <c r="OD133" s="168" t="s">
        <v>2105</v>
      </c>
      <c r="OE133" s="168" t="s">
        <v>3260</v>
      </c>
      <c r="OF133" s="168" t="s">
        <v>3261</v>
      </c>
      <c r="OG133" s="168" t="s">
        <v>3262</v>
      </c>
      <c r="OH133" s="168" t="s">
        <v>799</v>
      </c>
      <c r="OI133" s="168" t="s">
        <v>766</v>
      </c>
      <c r="OJ133" s="168" t="s">
        <v>3240</v>
      </c>
      <c r="OK133" s="168" t="s">
        <v>3263</v>
      </c>
    </row>
    <row r="134" spans="1:401" x14ac:dyDescent="0.2">
      <c r="A134" s="170" t="str">
        <f>Liste[[#This Row],[Siren]]</f>
        <v>422185397</v>
      </c>
      <c r="B134" s="198" t="str">
        <f>Liste[[#This Row],[Dénomination]]&amp;" - comptes "&amp;YEAR(Liste[[#This Row],[Date de cloture de l''exercice]])</f>
        <v>LE CARRE - comptes 2017</v>
      </c>
      <c r="C134" s="21"/>
      <c r="D134" s="21"/>
      <c r="E134" s="21"/>
      <c r="F134" s="168">
        <v>2927000</v>
      </c>
      <c r="G134" s="168">
        <v>2335000</v>
      </c>
      <c r="H134" s="168">
        <v>-3</v>
      </c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168">
        <v>503000</v>
      </c>
      <c r="BA134" s="168">
        <v>515000</v>
      </c>
      <c r="BB134" s="168">
        <v>-3</v>
      </c>
      <c r="BC134" s="21"/>
      <c r="BD134" s="168">
        <v>3818000</v>
      </c>
      <c r="BE134" s="168">
        <v>3418000</v>
      </c>
      <c r="BF134" s="168">
        <v>-3</v>
      </c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168">
        <v>9124000</v>
      </c>
      <c r="BY134" s="168">
        <v>8469000</v>
      </c>
      <c r="BZ134" s="21"/>
      <c r="CA134" s="21"/>
      <c r="CB134" s="21"/>
      <c r="CC134" s="21"/>
      <c r="CD134" s="21"/>
      <c r="CE134" s="168">
        <v>118000</v>
      </c>
      <c r="CF134" s="168">
        <v>16000</v>
      </c>
      <c r="CG134" s="168">
        <v>-5</v>
      </c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168">
        <v>1964000</v>
      </c>
      <c r="EM134" s="168">
        <v>1780000</v>
      </c>
      <c r="EN134" s="168">
        <v>-3</v>
      </c>
      <c r="EO134" s="21"/>
      <c r="EP134" s="168">
        <v>21453000</v>
      </c>
      <c r="EQ134" s="168">
        <v>19230000</v>
      </c>
      <c r="ER134" s="21"/>
      <c r="ES134" s="21"/>
      <c r="ET134" s="168">
        <v>23417000</v>
      </c>
      <c r="EU134" s="168">
        <v>21010000</v>
      </c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168">
        <v>3554000</v>
      </c>
      <c r="FG134" s="168">
        <v>2999000</v>
      </c>
      <c r="FH134" s="168">
        <v>-3</v>
      </c>
      <c r="FI134" s="21"/>
      <c r="FJ134" s="21"/>
      <c r="FK134" s="21"/>
      <c r="FL134" s="21"/>
      <c r="FM134" s="21"/>
      <c r="FN134" s="21"/>
      <c r="FO134" s="21"/>
      <c r="FP134" s="21"/>
      <c r="FQ134" s="21"/>
      <c r="FR134" s="21"/>
      <c r="FS134" s="21"/>
      <c r="FT134" s="21"/>
      <c r="FU134" s="21"/>
      <c r="FV134" s="21"/>
      <c r="FW134" s="168">
        <v>-1518000</v>
      </c>
      <c r="FX134" s="168">
        <v>-1252000</v>
      </c>
      <c r="FY134" s="168">
        <v>1735000</v>
      </c>
      <c r="FZ134" s="168">
        <v>1497000</v>
      </c>
      <c r="GA134" s="21"/>
      <c r="GB134" s="21"/>
      <c r="GC134" s="21"/>
      <c r="GD134" s="21"/>
      <c r="GE134" s="21"/>
      <c r="GF134" s="21"/>
      <c r="GG134" s="21"/>
      <c r="GH134" s="21"/>
      <c r="GI134" s="21"/>
      <c r="GJ134" s="21"/>
      <c r="GK134" s="21"/>
      <c r="GL134" s="21"/>
      <c r="GM134" s="168">
        <v>3905000</v>
      </c>
      <c r="GN134" s="168">
        <v>3541000</v>
      </c>
      <c r="GO134" s="168">
        <v>3905000</v>
      </c>
      <c r="GP134" s="168">
        <v>3541000</v>
      </c>
      <c r="GQ134" s="21"/>
      <c r="GR134" s="21"/>
      <c r="GS134" s="168">
        <v>2170000</v>
      </c>
      <c r="GT134" s="168">
        <v>2044000</v>
      </c>
      <c r="GU134" s="168">
        <v>-194000</v>
      </c>
      <c r="GV134" s="168">
        <v>-106000</v>
      </c>
      <c r="GW134" s="168">
        <v>144000</v>
      </c>
      <c r="GX134" s="168">
        <v>156000</v>
      </c>
      <c r="GY134" s="21"/>
      <c r="GZ134" s="21"/>
      <c r="HA134" s="21"/>
      <c r="HB134" s="21"/>
      <c r="HC134" s="21"/>
      <c r="HD134" s="21"/>
      <c r="HE134" s="168">
        <v>-14625000</v>
      </c>
      <c r="HF134" s="168">
        <v>-9201000</v>
      </c>
      <c r="HG134" s="21"/>
      <c r="HH134" s="21"/>
      <c r="HI134" s="168">
        <v>1390000</v>
      </c>
      <c r="HJ134" s="168">
        <v>1355000</v>
      </c>
      <c r="HK134" s="21"/>
      <c r="HL134" s="21"/>
      <c r="HM134" s="21"/>
      <c r="HN134" s="21"/>
      <c r="HO134" s="21"/>
      <c r="HP134" s="21"/>
      <c r="HQ134" s="21"/>
      <c r="HR134" s="21"/>
      <c r="HS134" s="21"/>
      <c r="HT134" s="21"/>
      <c r="HU134" s="21"/>
      <c r="HV134" s="21"/>
      <c r="HW134" s="21"/>
      <c r="HX134" s="21"/>
      <c r="HY134" s="21"/>
      <c r="HZ134" s="21"/>
      <c r="IA134" s="21"/>
      <c r="IB134" s="21"/>
      <c r="IC134" s="21"/>
      <c r="ID134" s="21"/>
      <c r="IE134" s="168">
        <v>-891000</v>
      </c>
      <c r="IF134" s="168">
        <v>-741000</v>
      </c>
      <c r="IG134" s="21"/>
      <c r="IH134" s="21"/>
      <c r="II134" s="21"/>
      <c r="IJ134" s="21"/>
      <c r="IK134" s="21"/>
      <c r="IL134" s="21"/>
      <c r="IM134" s="21"/>
      <c r="IN134" s="21"/>
      <c r="IO134" s="21"/>
      <c r="IP134" s="21"/>
      <c r="IQ134" s="21"/>
      <c r="IR134" s="21"/>
      <c r="IS134" s="21"/>
      <c r="IT134" s="21"/>
      <c r="IU134" s="168">
        <v>5473000</v>
      </c>
      <c r="IV134" s="168">
        <v>4743000</v>
      </c>
      <c r="IW134" s="168">
        <v>5741000</v>
      </c>
      <c r="IX134" s="168">
        <v>5105000</v>
      </c>
      <c r="IY134" s="21"/>
      <c r="IZ134" s="21"/>
      <c r="JA134" s="21"/>
      <c r="JB134" s="21"/>
      <c r="JC134" s="21"/>
      <c r="JD134" s="21"/>
      <c r="JE134" s="168">
        <v>-31227000</v>
      </c>
      <c r="JF134" s="168">
        <v>-29059000</v>
      </c>
      <c r="JG134" s="21"/>
      <c r="JH134" s="21"/>
      <c r="JI134" s="168">
        <v>-56659000</v>
      </c>
      <c r="JJ134" s="168">
        <v>-47907000</v>
      </c>
      <c r="JK134" s="168">
        <v>-280000</v>
      </c>
      <c r="JL134" s="168">
        <v>-393000</v>
      </c>
      <c r="JM134" s="168">
        <v>62401000</v>
      </c>
      <c r="JN134" s="168">
        <v>53012000</v>
      </c>
      <c r="JO134" s="168">
        <v>12000</v>
      </c>
      <c r="JP134" s="168">
        <v>31000</v>
      </c>
      <c r="JQ134" s="21"/>
      <c r="JR134" s="21"/>
      <c r="JS134" s="21"/>
      <c r="JT134" s="21"/>
      <c r="JU134" s="21"/>
      <c r="JV134" s="21"/>
      <c r="JW134" s="168">
        <v>61011000</v>
      </c>
      <c r="JX134" s="168">
        <v>51658000</v>
      </c>
      <c r="JY134" s="21"/>
      <c r="JZ134" s="21"/>
      <c r="KA134" s="21"/>
      <c r="KB134" s="21"/>
      <c r="KC134" s="21"/>
      <c r="KD134" s="21"/>
      <c r="KE134" s="21"/>
      <c r="KF134" s="21"/>
      <c r="KG134" s="21"/>
      <c r="KH134" s="21"/>
      <c r="KI134" s="21"/>
      <c r="KJ134" s="21"/>
      <c r="KK134" s="21"/>
      <c r="KL134" s="21"/>
      <c r="KM134" s="21"/>
      <c r="KN134" s="21"/>
      <c r="KO134" s="21"/>
      <c r="KP134" s="21"/>
      <c r="KQ134" s="168">
        <v>6268000</v>
      </c>
      <c r="KR134" s="168">
        <v>6280000</v>
      </c>
      <c r="KS134" s="21"/>
      <c r="KT134" s="21"/>
      <c r="KU134" s="168">
        <v>329000</v>
      </c>
      <c r="KV134" s="168">
        <v>329000</v>
      </c>
      <c r="KW134" s="21"/>
      <c r="KX134" s="21"/>
      <c r="KY134" s="21"/>
      <c r="KZ134" s="21"/>
      <c r="LA134" s="168">
        <v>45000</v>
      </c>
      <c r="LB134" s="168">
        <v>45000</v>
      </c>
      <c r="LC134" s="168">
        <v>1617000</v>
      </c>
      <c r="LD134" s="168">
        <v>1528000</v>
      </c>
      <c r="LE134" s="168">
        <v>1735000</v>
      </c>
      <c r="LF134" s="168">
        <v>1497000</v>
      </c>
      <c r="LG134" s="21"/>
      <c r="LH134" s="21"/>
      <c r="LI134" s="21"/>
      <c r="LJ134" s="21"/>
      <c r="LK134" s="168">
        <v>2800000</v>
      </c>
      <c r="LL134" s="168">
        <v>2101000</v>
      </c>
      <c r="LM134" s="21"/>
      <c r="LN134" s="21"/>
      <c r="LO134" s="21"/>
      <c r="LP134" s="21"/>
      <c r="LQ134" s="21"/>
      <c r="LR134" s="21"/>
      <c r="LS134" s="21"/>
      <c r="LT134" s="21"/>
      <c r="LU134" s="21"/>
      <c r="LV134" s="21"/>
      <c r="LW134" s="21"/>
      <c r="LX134" s="21"/>
      <c r="LY134" s="21"/>
      <c r="LZ134" s="21"/>
      <c r="MA134" s="21"/>
      <c r="MB134" s="21"/>
      <c r="MC134" s="168">
        <v>3554000</v>
      </c>
      <c r="MD134" s="168">
        <v>3050000</v>
      </c>
      <c r="ME134" s="21"/>
      <c r="MF134" s="21"/>
      <c r="MG134" s="168">
        <v>104000</v>
      </c>
      <c r="MH134" s="168">
        <v>73000</v>
      </c>
      <c r="MI134" s="21"/>
      <c r="MJ134" s="21"/>
      <c r="MK134" s="21"/>
      <c r="ML134" s="21"/>
      <c r="MM134" s="168">
        <v>534000</v>
      </c>
      <c r="MN134" s="168">
        <v>424000</v>
      </c>
      <c r="MO134" s="21"/>
      <c r="MP134" s="21"/>
      <c r="MQ134" s="168">
        <v>777000</v>
      </c>
      <c r="MR134" s="168">
        <v>554000</v>
      </c>
      <c r="MS134" s="21"/>
      <c r="MT134" s="21"/>
      <c r="MU134" s="21"/>
      <c r="MV134" s="21"/>
      <c r="MW134" s="168">
        <v>5000</v>
      </c>
      <c r="MX134" s="168">
        <v>5000</v>
      </c>
      <c r="MY134" s="21"/>
      <c r="MZ134" s="21"/>
      <c r="NA134" s="21"/>
      <c r="NB134" s="21"/>
      <c r="NC134" s="168">
        <v>2170000</v>
      </c>
      <c r="ND134" s="168">
        <v>2044000</v>
      </c>
      <c r="NE134" s="21"/>
      <c r="NF134" s="21"/>
      <c r="NG134" s="168">
        <v>5980000</v>
      </c>
      <c r="NH134" s="168">
        <v>5473000</v>
      </c>
      <c r="NI134" s="21"/>
      <c r="NJ134" s="21"/>
      <c r="NK134" s="168">
        <v>3352000</v>
      </c>
      <c r="NL134" s="168">
        <v>3025000</v>
      </c>
      <c r="NM134" s="168">
        <v>13157000</v>
      </c>
      <c r="NN134" s="168">
        <v>11855000</v>
      </c>
      <c r="NO134" s="168">
        <v>23417000</v>
      </c>
      <c r="NP134" s="168">
        <v>21010000</v>
      </c>
      <c r="NQ134" s="168" t="s">
        <v>1038</v>
      </c>
      <c r="NR134" s="168" t="s">
        <v>779</v>
      </c>
      <c r="NS134" s="168" t="s">
        <v>770</v>
      </c>
      <c r="NT134" s="168" t="s">
        <v>771</v>
      </c>
      <c r="NU134" s="168">
        <v>5402</v>
      </c>
      <c r="NV134" s="168" t="s">
        <v>2104</v>
      </c>
      <c r="NW134" s="168" t="s">
        <v>28</v>
      </c>
      <c r="NX134" s="168" t="s">
        <v>25</v>
      </c>
      <c r="NY134" s="169">
        <v>42825</v>
      </c>
      <c r="NZ134" s="169">
        <v>42460</v>
      </c>
      <c r="OA134" s="169">
        <v>43024</v>
      </c>
      <c r="OB134" s="168" t="s">
        <v>1563</v>
      </c>
      <c r="OC134" s="168">
        <v>12</v>
      </c>
      <c r="OD134" s="168" t="s">
        <v>2106</v>
      </c>
      <c r="OE134" s="168" t="s">
        <v>2254</v>
      </c>
      <c r="OF134" s="168" t="s">
        <v>2641</v>
      </c>
      <c r="OG134" s="168" t="s">
        <v>2089</v>
      </c>
      <c r="OH134" s="168" t="s">
        <v>977</v>
      </c>
      <c r="OI134" s="168" t="s">
        <v>766</v>
      </c>
      <c r="OJ134" s="168" t="s">
        <v>3240</v>
      </c>
      <c r="OK134" s="168" t="s">
        <v>778</v>
      </c>
    </row>
    <row r="135" spans="1:401" x14ac:dyDescent="0.2">
      <c r="A135" s="170" t="str">
        <f>Liste[[#This Row],[Siren]]</f>
        <v>823650015</v>
      </c>
      <c r="B135" s="198" t="str">
        <f>Liste[[#This Row],[Dénomination]]&amp;" - comptes "&amp;YEAR(Liste[[#This Row],[Date de cloture de l''exercice]])</f>
        <v>GROUPE NOVELTY - comptes 2017</v>
      </c>
      <c r="C135" s="21"/>
      <c r="D135" s="21"/>
      <c r="E135" s="21"/>
      <c r="F135" s="168">
        <v>6311984</v>
      </c>
      <c r="G135" s="21"/>
      <c r="H135" s="168">
        <v>6311984</v>
      </c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168">
        <v>1527830</v>
      </c>
      <c r="BD135" s="168">
        <v>17202123</v>
      </c>
      <c r="BE135" s="21"/>
      <c r="BF135" s="168">
        <v>18729953</v>
      </c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168">
        <v>7364124</v>
      </c>
      <c r="BY135" s="21"/>
      <c r="BZ135" s="168">
        <v>7364124</v>
      </c>
      <c r="CA135" s="21"/>
      <c r="CB135" s="21"/>
      <c r="CC135" s="21"/>
      <c r="CD135" s="21"/>
      <c r="CE135" s="168">
        <v>21958904</v>
      </c>
      <c r="CF135" s="21"/>
      <c r="CG135" s="168">
        <v>21958904</v>
      </c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168">
        <v>32064366</v>
      </c>
      <c r="EL135" s="168">
        <v>48105629</v>
      </c>
      <c r="EM135" s="21"/>
      <c r="EN135" s="168">
        <v>80169995</v>
      </c>
      <c r="EO135" s="168">
        <v>1542554</v>
      </c>
      <c r="EP135" s="168">
        <v>32070377</v>
      </c>
      <c r="EQ135" s="21"/>
      <c r="ER135" s="168">
        <v>33612931</v>
      </c>
      <c r="ES135" s="168">
        <v>33606920</v>
      </c>
      <c r="ET135" s="168">
        <v>80176006</v>
      </c>
      <c r="EU135" s="21"/>
      <c r="EV135" s="168">
        <v>113782926</v>
      </c>
      <c r="EW135" s="21"/>
      <c r="EX135" s="21"/>
      <c r="EY135" s="21"/>
      <c r="EZ135" s="21"/>
      <c r="FA135" s="21"/>
      <c r="FB135" s="21"/>
      <c r="FC135" s="21"/>
      <c r="FD135" s="21"/>
      <c r="FE135" s="168">
        <v>1482</v>
      </c>
      <c r="FF135" s="168">
        <v>2878</v>
      </c>
      <c r="FG135" s="21"/>
      <c r="FH135" s="168">
        <v>4360</v>
      </c>
      <c r="FI135" s="21"/>
      <c r="FJ135" s="21"/>
      <c r="FK135" s="21"/>
      <c r="FL135" s="21"/>
      <c r="FM135" s="21"/>
      <c r="FN135" s="21"/>
      <c r="FO135" s="21"/>
      <c r="FP135" s="21"/>
      <c r="FQ135" s="21"/>
      <c r="FR135" s="21"/>
      <c r="FS135" s="21"/>
      <c r="FT135" s="21"/>
      <c r="FU135" s="21"/>
      <c r="FV135" s="21"/>
      <c r="FW135" s="168">
        <v>-361963</v>
      </c>
      <c r="FX135" s="21"/>
      <c r="FY135" s="21"/>
      <c r="FZ135" s="21"/>
      <c r="GA135" s="21"/>
      <c r="GB135" s="21"/>
      <c r="GC135" s="21"/>
      <c r="GD135" s="21"/>
      <c r="GE135" s="21"/>
      <c r="GF135" s="21"/>
      <c r="GG135" s="21"/>
      <c r="GH135" s="21"/>
      <c r="GI135" s="21"/>
      <c r="GJ135" s="21"/>
      <c r="GK135" s="21"/>
      <c r="GL135" s="21"/>
      <c r="GM135" s="168">
        <v>1025242</v>
      </c>
      <c r="GN135" s="21"/>
      <c r="GO135" s="168">
        <v>1025242</v>
      </c>
      <c r="GP135" s="21"/>
      <c r="GQ135" s="21"/>
      <c r="GR135" s="21"/>
      <c r="GS135" s="168">
        <v>1026242</v>
      </c>
      <c r="GT135" s="21"/>
      <c r="GU135" s="21"/>
      <c r="GV135" s="21"/>
      <c r="GW135" s="21"/>
      <c r="GX135" s="21"/>
      <c r="GY135" s="21"/>
      <c r="GZ135" s="21"/>
      <c r="HA135" s="21"/>
      <c r="HB135" s="21"/>
      <c r="HC135" s="21"/>
      <c r="HD135" s="21"/>
      <c r="HE135" s="168">
        <v>-141193</v>
      </c>
      <c r="HF135" s="21"/>
      <c r="HG135" s="21"/>
      <c r="HH135" s="21"/>
      <c r="HI135" s="168">
        <v>196368</v>
      </c>
      <c r="HJ135" s="21"/>
      <c r="HK135" s="21"/>
      <c r="HL135" s="21"/>
      <c r="HM135" s="21"/>
      <c r="HN135" s="21"/>
      <c r="HO135" s="21"/>
      <c r="HP135" s="21"/>
      <c r="HQ135" s="21"/>
      <c r="HR135" s="21"/>
      <c r="HS135" s="21"/>
      <c r="HT135" s="21"/>
      <c r="HU135" s="21"/>
      <c r="HV135" s="21"/>
      <c r="HW135" s="21"/>
      <c r="HX135" s="21"/>
      <c r="HY135" s="21"/>
      <c r="HZ135" s="21"/>
      <c r="IA135" s="21"/>
      <c r="IB135" s="21"/>
      <c r="IC135" s="21"/>
      <c r="ID135" s="21"/>
      <c r="IE135" s="168">
        <v>-1053780</v>
      </c>
      <c r="IF135" s="21"/>
      <c r="IG135" s="21"/>
      <c r="IH135" s="21"/>
      <c r="II135" s="21"/>
      <c r="IJ135" s="21"/>
      <c r="IK135" s="21"/>
      <c r="IL135" s="21"/>
      <c r="IM135" s="21"/>
      <c r="IN135" s="21"/>
      <c r="IO135" s="21"/>
      <c r="IP135" s="21"/>
      <c r="IQ135" s="21"/>
      <c r="IR135" s="21"/>
      <c r="IS135" s="21"/>
      <c r="IT135" s="21"/>
      <c r="IU135" s="168">
        <v>1551929</v>
      </c>
      <c r="IV135" s="21"/>
      <c r="IW135" s="168">
        <v>1684173</v>
      </c>
      <c r="IX135" s="21"/>
      <c r="IY135" s="21"/>
      <c r="IZ135" s="21"/>
      <c r="JA135" s="21"/>
      <c r="JB135" s="21"/>
      <c r="JC135" s="21"/>
      <c r="JD135" s="21"/>
      <c r="JE135" s="21"/>
      <c r="JF135" s="21"/>
      <c r="JG135" s="21"/>
      <c r="JH135" s="21"/>
      <c r="JI135" s="21"/>
      <c r="JJ135" s="21"/>
      <c r="JK135" s="21"/>
      <c r="JL135" s="21"/>
      <c r="JM135" s="21"/>
      <c r="JN135" s="21"/>
      <c r="JO135" s="21"/>
      <c r="JP135" s="21"/>
      <c r="JQ135" s="21"/>
      <c r="JR135" s="21"/>
      <c r="JS135" s="21"/>
      <c r="JT135" s="21"/>
      <c r="JU135" s="21"/>
      <c r="JV135" s="21"/>
      <c r="JW135" s="168">
        <v>33451517</v>
      </c>
      <c r="JX135" s="21"/>
      <c r="JY135" s="21"/>
      <c r="JZ135" s="21"/>
      <c r="KA135" s="21"/>
      <c r="KB135" s="21"/>
      <c r="KC135" s="21"/>
      <c r="KD135" s="21"/>
      <c r="KE135" s="21"/>
      <c r="KF135" s="21"/>
      <c r="KG135" s="21"/>
      <c r="KH135" s="21"/>
      <c r="KI135" s="21"/>
      <c r="KJ135" s="21"/>
      <c r="KK135" s="21"/>
      <c r="KL135" s="21"/>
      <c r="KM135" s="21"/>
      <c r="KN135" s="21"/>
      <c r="KO135" s="21"/>
      <c r="KP135" s="21"/>
      <c r="KQ135" s="168">
        <v>19571543</v>
      </c>
      <c r="KR135" s="21"/>
      <c r="KS135" s="21"/>
      <c r="KT135" s="21"/>
      <c r="KU135" s="21"/>
      <c r="KV135" s="21"/>
      <c r="KW135" s="21"/>
      <c r="KX135" s="21"/>
      <c r="KY135" s="21"/>
      <c r="KZ135" s="21"/>
      <c r="LA135" s="168">
        <v>25333809</v>
      </c>
      <c r="LB135" s="21"/>
      <c r="LC135" s="21"/>
      <c r="LD135" s="21"/>
      <c r="LE135" s="21"/>
      <c r="LF135" s="21"/>
      <c r="LG135" s="21"/>
      <c r="LH135" s="21"/>
      <c r="LI135" s="21"/>
      <c r="LJ135" s="21"/>
      <c r="LK135" s="168">
        <v>8859655</v>
      </c>
      <c r="LL135" s="21"/>
      <c r="LM135" s="21"/>
      <c r="LN135" s="21"/>
      <c r="LO135" s="21"/>
      <c r="LP135" s="21"/>
      <c r="LQ135" s="21"/>
      <c r="LR135" s="21"/>
      <c r="LS135" s="21"/>
      <c r="LT135" s="21"/>
      <c r="LU135" s="168">
        <v>-2050</v>
      </c>
      <c r="LV135" s="21"/>
      <c r="LW135" s="21"/>
      <c r="LX135" s="21"/>
      <c r="LY135" s="21"/>
      <c r="LZ135" s="21"/>
      <c r="MA135" s="21"/>
      <c r="MB135" s="21"/>
      <c r="MC135" s="168">
        <v>24362103</v>
      </c>
      <c r="MD135" s="21"/>
      <c r="ME135" s="21"/>
      <c r="MF135" s="21"/>
      <c r="MG135" s="21"/>
      <c r="MH135" s="21"/>
      <c r="MI135" s="21"/>
      <c r="MJ135" s="21"/>
      <c r="MK135" s="21"/>
      <c r="ML135" s="21"/>
      <c r="MM135" s="21"/>
      <c r="MN135" s="21"/>
      <c r="MO135" s="21"/>
      <c r="MP135" s="21"/>
      <c r="MQ135" s="21"/>
      <c r="MR135" s="21"/>
      <c r="MS135" s="21"/>
      <c r="MT135" s="21"/>
      <c r="MU135" s="21"/>
      <c r="MV135" s="21"/>
      <c r="MW135" s="21"/>
      <c r="MX135" s="21"/>
      <c r="MY135" s="21"/>
      <c r="MZ135" s="21"/>
      <c r="NA135" s="21"/>
      <c r="NB135" s="21"/>
      <c r="NC135" s="168">
        <v>1025242</v>
      </c>
      <c r="ND135" s="21"/>
      <c r="NE135" s="21"/>
      <c r="NF135" s="21"/>
      <c r="NG135" s="168">
        <v>26359046</v>
      </c>
      <c r="NH135" s="21"/>
      <c r="NI135" s="21"/>
      <c r="NJ135" s="21"/>
      <c r="NK135" s="21"/>
      <c r="NL135" s="21"/>
      <c r="NM135" s="168">
        <v>52793301</v>
      </c>
      <c r="NN135" s="21"/>
      <c r="NO135" s="168">
        <v>80176006</v>
      </c>
      <c r="NP135" s="21"/>
      <c r="NQ135" s="168" t="s">
        <v>1002</v>
      </c>
      <c r="NR135" s="168" t="s">
        <v>804</v>
      </c>
      <c r="NS135" s="168" t="s">
        <v>770</v>
      </c>
      <c r="NT135" s="168" t="s">
        <v>771</v>
      </c>
      <c r="NU135" s="168">
        <v>7501</v>
      </c>
      <c r="NV135" s="168" t="s">
        <v>2104</v>
      </c>
      <c r="NW135" s="168" t="s">
        <v>28</v>
      </c>
      <c r="NX135" s="168" t="s">
        <v>25</v>
      </c>
      <c r="NY135" s="169">
        <v>42825</v>
      </c>
      <c r="NZ135" s="21"/>
      <c r="OA135" s="169">
        <v>43019</v>
      </c>
      <c r="OB135" s="168" t="s">
        <v>1564</v>
      </c>
      <c r="OC135" s="168">
        <v>6</v>
      </c>
      <c r="OD135" s="168" t="s">
        <v>2105</v>
      </c>
      <c r="OE135" s="168" t="s">
        <v>2642</v>
      </c>
      <c r="OF135" s="168" t="s">
        <v>2643</v>
      </c>
      <c r="OG135" s="168" t="s">
        <v>2090</v>
      </c>
      <c r="OH135" s="168" t="s">
        <v>765</v>
      </c>
      <c r="OI135" s="168" t="s">
        <v>766</v>
      </c>
      <c r="OJ135" s="168" t="s">
        <v>3240</v>
      </c>
      <c r="OK135" s="168" t="s">
        <v>803</v>
      </c>
    </row>
    <row r="136" spans="1:401" x14ac:dyDescent="0.2">
      <c r="A136" s="170" t="str">
        <f>Liste[[#This Row],[Siren]]</f>
        <v>331951939</v>
      </c>
      <c r="B136" s="198" t="str">
        <f>Liste[[#This Row],[Dénomination]]&amp;" - comptes "&amp;YEAR(Liste[[#This Row],[Date de cloture de l''exercice]])</f>
        <v>DOLPHIN INTEGRATION - comptes 2017</v>
      </c>
      <c r="C136" s="21"/>
      <c r="D136" s="21"/>
      <c r="E136" s="21"/>
      <c r="F136" s="168">
        <v>2254</v>
      </c>
      <c r="G136" s="168">
        <v>3747</v>
      </c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168">
        <v>5642</v>
      </c>
      <c r="BE136" s="168">
        <v>6007</v>
      </c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168">
        <v>674</v>
      </c>
      <c r="BY136" s="168">
        <v>862</v>
      </c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168">
        <v>22635</v>
      </c>
      <c r="EM136" s="168">
        <v>21993</v>
      </c>
      <c r="EN136" s="21"/>
      <c r="EO136" s="21"/>
      <c r="EP136" s="168">
        <v>8919</v>
      </c>
      <c r="EQ136" s="168">
        <v>10770</v>
      </c>
      <c r="ER136" s="21"/>
      <c r="ES136" s="21"/>
      <c r="ET136" s="168">
        <v>31553</v>
      </c>
      <c r="EU136" s="168">
        <v>32762</v>
      </c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168">
        <v>-683</v>
      </c>
      <c r="FJ136" s="168">
        <v>102</v>
      </c>
      <c r="FK136" s="21"/>
      <c r="FL136" s="21"/>
      <c r="FM136" s="21"/>
      <c r="FN136" s="21"/>
      <c r="FO136" s="21"/>
      <c r="FP136" s="21"/>
      <c r="FQ136" s="21"/>
      <c r="FR136" s="21"/>
      <c r="FS136" s="21"/>
      <c r="FT136" s="21"/>
      <c r="FU136" s="21"/>
      <c r="FV136" s="21"/>
      <c r="FW136" s="21"/>
      <c r="FX136" s="21"/>
      <c r="FY136" s="21"/>
      <c r="FZ136" s="21"/>
      <c r="GA136" s="21"/>
      <c r="GB136" s="21"/>
      <c r="GC136" s="21"/>
      <c r="GD136" s="21"/>
      <c r="GE136" s="21"/>
      <c r="GF136" s="21"/>
      <c r="GG136" s="21"/>
      <c r="GH136" s="21"/>
      <c r="GI136" s="21"/>
      <c r="GJ136" s="21"/>
      <c r="GK136" s="21"/>
      <c r="GL136" s="21"/>
      <c r="GM136" s="168">
        <v>-1289</v>
      </c>
      <c r="GN136" s="168">
        <v>444</v>
      </c>
      <c r="GO136" s="21"/>
      <c r="GP136" s="21"/>
      <c r="GQ136" s="21"/>
      <c r="GR136" s="21"/>
      <c r="GS136" s="21"/>
      <c r="GT136" s="21"/>
      <c r="GU136" s="21"/>
      <c r="GV136" s="21"/>
      <c r="GW136" s="21"/>
      <c r="GX136" s="21"/>
      <c r="GY136" s="21"/>
      <c r="GZ136" s="21"/>
      <c r="HA136" s="21"/>
      <c r="HB136" s="21"/>
      <c r="HC136" s="168">
        <v>-2014</v>
      </c>
      <c r="HD136" s="168">
        <v>-1903</v>
      </c>
      <c r="HE136" s="168">
        <v>-141</v>
      </c>
      <c r="HF136" s="168">
        <v>-86</v>
      </c>
      <c r="HG136" s="21"/>
      <c r="HH136" s="21"/>
      <c r="HI136" s="168">
        <v>17059</v>
      </c>
      <c r="HJ136" s="168">
        <v>16856</v>
      </c>
      <c r="HK136" s="21"/>
      <c r="HL136" s="21"/>
      <c r="HM136" s="21"/>
      <c r="HN136" s="21"/>
      <c r="HO136" s="21"/>
      <c r="HP136" s="21"/>
      <c r="HQ136" s="21"/>
      <c r="HR136" s="21"/>
      <c r="HS136" s="21"/>
      <c r="HT136" s="21"/>
      <c r="HU136" s="21"/>
      <c r="HV136" s="21"/>
      <c r="HW136" s="21"/>
      <c r="HX136" s="21"/>
      <c r="HY136" s="21"/>
      <c r="HZ136" s="21"/>
      <c r="IA136" s="21"/>
      <c r="IB136" s="21"/>
      <c r="IC136" s="21"/>
      <c r="ID136" s="21"/>
      <c r="IE136" s="168">
        <v>-279</v>
      </c>
      <c r="IF136" s="168">
        <v>-286</v>
      </c>
      <c r="IG136" s="21"/>
      <c r="IH136" s="21"/>
      <c r="II136" s="21"/>
      <c r="IJ136" s="21"/>
      <c r="IK136" s="21"/>
      <c r="IL136" s="21"/>
      <c r="IM136" s="21"/>
      <c r="IN136" s="21"/>
      <c r="IO136" s="21"/>
      <c r="IP136" s="21"/>
      <c r="IQ136" s="21"/>
      <c r="IR136" s="21"/>
      <c r="IS136" s="21"/>
      <c r="IT136" s="21"/>
      <c r="IU136" s="168">
        <v>-2322</v>
      </c>
      <c r="IV136" s="168">
        <v>-1644</v>
      </c>
      <c r="IW136" s="168">
        <v>-2104</v>
      </c>
      <c r="IX136" s="168">
        <v>-1591</v>
      </c>
      <c r="IY136" s="168">
        <v>-219</v>
      </c>
      <c r="IZ136" s="168">
        <v>-52</v>
      </c>
      <c r="JA136" s="21"/>
      <c r="JB136" s="21"/>
      <c r="JC136" s="21"/>
      <c r="JD136" s="21"/>
      <c r="JE136" s="21"/>
      <c r="JF136" s="21"/>
      <c r="JG136" s="21"/>
      <c r="JH136" s="21"/>
      <c r="JI136" s="21"/>
      <c r="JJ136" s="21"/>
      <c r="JK136" s="21"/>
      <c r="JL136" s="21"/>
      <c r="JM136" s="21"/>
      <c r="JN136" s="21"/>
      <c r="JO136" s="21"/>
      <c r="JP136" s="21"/>
      <c r="JQ136" s="21"/>
      <c r="JR136" s="21"/>
      <c r="JS136" s="21"/>
      <c r="JT136" s="21"/>
      <c r="JU136" s="21"/>
      <c r="JV136" s="21"/>
      <c r="JW136" s="168">
        <v>15098</v>
      </c>
      <c r="JX136" s="168">
        <v>14581</v>
      </c>
      <c r="JY136" s="21"/>
      <c r="JZ136" s="21"/>
      <c r="KA136" s="21"/>
      <c r="KB136" s="21"/>
      <c r="KC136" s="21"/>
      <c r="KD136" s="21"/>
      <c r="KE136" s="21"/>
      <c r="KF136" s="21"/>
      <c r="KG136" s="21"/>
      <c r="KH136" s="21"/>
      <c r="KI136" s="21"/>
      <c r="KJ136" s="21"/>
      <c r="KK136" s="21"/>
      <c r="KL136" s="21"/>
      <c r="KM136" s="21"/>
      <c r="KN136" s="21"/>
      <c r="KO136" s="21"/>
      <c r="KP136" s="21"/>
      <c r="KQ136" s="168">
        <v>7696</v>
      </c>
      <c r="KR136" s="168">
        <v>6525</v>
      </c>
      <c r="KS136" s="21"/>
      <c r="KT136" s="21"/>
      <c r="KU136" s="21"/>
      <c r="KV136" s="21"/>
      <c r="KW136" s="21"/>
      <c r="KX136" s="21"/>
      <c r="KY136" s="21"/>
      <c r="KZ136" s="21"/>
      <c r="LA136" s="168">
        <v>1345</v>
      </c>
      <c r="LB136" s="168">
        <v>1345</v>
      </c>
      <c r="LC136" s="21"/>
      <c r="LD136" s="21"/>
      <c r="LE136" s="21"/>
      <c r="LF136" s="21"/>
      <c r="LG136" s="21"/>
      <c r="LH136" s="21"/>
      <c r="LI136" s="21"/>
      <c r="LJ136" s="21"/>
      <c r="LK136" s="168">
        <v>3091</v>
      </c>
      <c r="LL136" s="168">
        <v>3062</v>
      </c>
      <c r="LM136" s="21"/>
      <c r="LN136" s="21"/>
      <c r="LO136" s="21"/>
      <c r="LP136" s="21"/>
      <c r="LQ136" s="21"/>
      <c r="LR136" s="21"/>
      <c r="LS136" s="21"/>
      <c r="LT136" s="21"/>
      <c r="LU136" s="168">
        <v>40</v>
      </c>
      <c r="LV136" s="168">
        <v>114</v>
      </c>
      <c r="LW136" s="21"/>
      <c r="LX136" s="21"/>
      <c r="LY136" s="21"/>
      <c r="LZ136" s="21"/>
      <c r="MA136" s="21"/>
      <c r="MB136" s="21"/>
      <c r="MC136" s="168">
        <v>5296</v>
      </c>
      <c r="MD136" s="168">
        <v>6923</v>
      </c>
      <c r="ME136" s="21"/>
      <c r="MF136" s="21"/>
      <c r="MG136" s="21"/>
      <c r="MH136" s="21"/>
      <c r="MI136" s="168">
        <v>593</v>
      </c>
      <c r="MJ136" s="168">
        <v>593</v>
      </c>
      <c r="MK136" s="21"/>
      <c r="ML136" s="21"/>
      <c r="MM136" s="21"/>
      <c r="MN136" s="21"/>
      <c r="MO136" s="21"/>
      <c r="MP136" s="21"/>
      <c r="MQ136" s="21"/>
      <c r="MR136" s="21"/>
      <c r="MS136" s="21"/>
      <c r="MT136" s="21"/>
      <c r="MU136" s="21"/>
      <c r="MV136" s="21"/>
      <c r="MW136" s="21"/>
      <c r="MX136" s="21"/>
      <c r="MY136" s="21"/>
      <c r="MZ136" s="21"/>
      <c r="NA136" s="21"/>
      <c r="NB136" s="21"/>
      <c r="NC136" s="168">
        <v>-1289</v>
      </c>
      <c r="ND136" s="168">
        <v>444</v>
      </c>
      <c r="NE136" s="21"/>
      <c r="NF136" s="21"/>
      <c r="NG136" s="168">
        <v>13965</v>
      </c>
      <c r="NH136" s="168">
        <v>15224</v>
      </c>
      <c r="NI136" s="21"/>
      <c r="NJ136" s="21"/>
      <c r="NK136" s="21"/>
      <c r="NL136" s="21"/>
      <c r="NM136" s="168">
        <v>16083</v>
      </c>
      <c r="NN136" s="168">
        <v>16510</v>
      </c>
      <c r="NO136" s="168">
        <v>31553</v>
      </c>
      <c r="NP136" s="168">
        <v>32762</v>
      </c>
      <c r="NQ136" s="168" t="s">
        <v>1070</v>
      </c>
      <c r="NR136" s="168" t="s">
        <v>926</v>
      </c>
      <c r="NS136" s="168" t="s">
        <v>770</v>
      </c>
      <c r="NT136" s="168" t="s">
        <v>771</v>
      </c>
      <c r="NU136" s="168">
        <v>3801</v>
      </c>
      <c r="NV136" s="168" t="s">
        <v>2104</v>
      </c>
      <c r="NW136" s="168" t="s">
        <v>28</v>
      </c>
      <c r="NX136" s="168" t="s">
        <v>25</v>
      </c>
      <c r="NY136" s="169">
        <v>42825</v>
      </c>
      <c r="NZ136" s="169">
        <v>42460</v>
      </c>
      <c r="OA136" s="169">
        <v>43019</v>
      </c>
      <c r="OB136" s="168" t="s">
        <v>1565</v>
      </c>
      <c r="OC136" s="168">
        <v>12</v>
      </c>
      <c r="OD136" s="168" t="s">
        <v>2105</v>
      </c>
      <c r="OE136" s="168" t="s">
        <v>1566</v>
      </c>
      <c r="OF136" s="168" t="s">
        <v>2644</v>
      </c>
      <c r="OG136" s="168" t="s">
        <v>2091</v>
      </c>
      <c r="OH136" s="168" t="s">
        <v>833</v>
      </c>
      <c r="OI136" s="168" t="s">
        <v>766</v>
      </c>
      <c r="OJ136" s="168" t="s">
        <v>3240</v>
      </c>
      <c r="OK136" s="168" t="s">
        <v>925</v>
      </c>
    </row>
    <row r="137" spans="1:401" x14ac:dyDescent="0.2">
      <c r="A137" s="170" t="str">
        <f>Liste[[#This Row],[Siren]]</f>
        <v>379137524</v>
      </c>
      <c r="B137" s="198" t="str">
        <f>Liste[[#This Row],[Dénomination]]&amp;" - comptes "&amp;YEAR(Liste[[#This Row],[Date de cloture de l''exercice]])</f>
        <v>ABEO - comptes 2017</v>
      </c>
      <c r="C137" s="21"/>
      <c r="D137" s="21"/>
      <c r="E137" s="21"/>
      <c r="F137" s="168">
        <v>8086000</v>
      </c>
      <c r="G137" s="168">
        <v>6117000</v>
      </c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168">
        <v>1659000</v>
      </c>
      <c r="S137" s="168">
        <v>915000</v>
      </c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168">
        <v>29819000</v>
      </c>
      <c r="BE137" s="168">
        <v>24910000</v>
      </c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168">
        <v>87259000</v>
      </c>
      <c r="EM137" s="168">
        <v>74133000</v>
      </c>
      <c r="EN137" s="21"/>
      <c r="EO137" s="21"/>
      <c r="EP137" s="168">
        <v>76012000</v>
      </c>
      <c r="EQ137" s="168">
        <v>56374000</v>
      </c>
      <c r="ER137" s="21"/>
      <c r="ES137" s="21"/>
      <c r="ET137" s="168">
        <v>163271000</v>
      </c>
      <c r="EU137" s="168">
        <v>130507000</v>
      </c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  <c r="FQ137" s="21"/>
      <c r="FR137" s="21"/>
      <c r="FS137" s="21"/>
      <c r="FT137" s="21"/>
      <c r="FU137" s="21"/>
      <c r="FV137" s="21"/>
      <c r="FW137" s="168">
        <v>-2824000</v>
      </c>
      <c r="FX137" s="168">
        <v>-2625000</v>
      </c>
      <c r="FY137" s="21"/>
      <c r="FZ137" s="21"/>
      <c r="GA137" s="21"/>
      <c r="GB137" s="21"/>
      <c r="GC137" s="21"/>
      <c r="GD137" s="21"/>
      <c r="GE137" s="21"/>
      <c r="GF137" s="21"/>
      <c r="GG137" s="21"/>
      <c r="GH137" s="21"/>
      <c r="GI137" s="21"/>
      <c r="GJ137" s="21"/>
      <c r="GK137" s="21"/>
      <c r="GL137" s="21"/>
      <c r="GM137" s="168">
        <v>9457000</v>
      </c>
      <c r="GN137" s="168">
        <v>-561000</v>
      </c>
      <c r="GO137" s="21"/>
      <c r="GP137" s="21"/>
      <c r="GQ137" s="21"/>
      <c r="GR137" s="21"/>
      <c r="GS137" s="21"/>
      <c r="GT137" s="21"/>
      <c r="GU137" s="21"/>
      <c r="GV137" s="21"/>
      <c r="GW137" s="21"/>
      <c r="GX137" s="21"/>
      <c r="GY137" s="21"/>
      <c r="GZ137" s="21"/>
      <c r="HA137" s="21"/>
      <c r="HB137" s="21"/>
      <c r="HC137" s="168">
        <v>-1375000</v>
      </c>
      <c r="HD137" s="168">
        <v>-1013000</v>
      </c>
      <c r="HE137" s="21"/>
      <c r="HF137" s="21"/>
      <c r="HG137" s="21"/>
      <c r="HH137" s="21"/>
      <c r="HI137" s="21"/>
      <c r="HJ137" s="21"/>
      <c r="HK137" s="21"/>
      <c r="HL137" s="21"/>
      <c r="HM137" s="21"/>
      <c r="HN137" s="21"/>
      <c r="HO137" s="21"/>
      <c r="HP137" s="21"/>
      <c r="HQ137" s="21"/>
      <c r="HR137" s="21"/>
      <c r="HS137" s="21"/>
      <c r="HT137" s="21"/>
      <c r="HU137" s="168">
        <v>-3440000</v>
      </c>
      <c r="HV137" s="168">
        <v>-3145000</v>
      </c>
      <c r="HW137" s="168">
        <v>-417000</v>
      </c>
      <c r="HX137" s="168">
        <v>-886000</v>
      </c>
      <c r="HY137" s="21"/>
      <c r="HZ137" s="21"/>
      <c r="IA137" s="21"/>
      <c r="IB137" s="21"/>
      <c r="IC137" s="21"/>
      <c r="ID137" s="21"/>
      <c r="IE137" s="21"/>
      <c r="IF137" s="21"/>
      <c r="IG137" s="21"/>
      <c r="IH137" s="21"/>
      <c r="II137" s="21"/>
      <c r="IJ137" s="21"/>
      <c r="IK137" s="21"/>
      <c r="IL137" s="21"/>
      <c r="IM137" s="21"/>
      <c r="IN137" s="21"/>
      <c r="IO137" s="21"/>
      <c r="IP137" s="21"/>
      <c r="IQ137" s="21"/>
      <c r="IR137" s="21"/>
      <c r="IS137" s="21"/>
      <c r="IT137" s="21"/>
      <c r="IU137" s="168">
        <v>12468000</v>
      </c>
      <c r="IV137" s="168">
        <v>2101000</v>
      </c>
      <c r="IW137" s="168">
        <v>12493000</v>
      </c>
      <c r="IX137" s="168">
        <v>2683000</v>
      </c>
      <c r="IY137" s="21"/>
      <c r="IZ137" s="21"/>
      <c r="JA137" s="21"/>
      <c r="JB137" s="21"/>
      <c r="JC137" s="21"/>
      <c r="JD137" s="21"/>
      <c r="JE137" s="168">
        <v>-47628000</v>
      </c>
      <c r="JF137" s="168">
        <v>-42296000</v>
      </c>
      <c r="JG137" s="21"/>
      <c r="JH137" s="21"/>
      <c r="JI137" s="21"/>
      <c r="JJ137" s="21"/>
      <c r="JK137" s="21"/>
      <c r="JL137" s="21"/>
      <c r="JM137" s="21"/>
      <c r="JN137" s="21"/>
      <c r="JO137" s="21"/>
      <c r="JP137" s="21"/>
      <c r="JQ137" s="21"/>
      <c r="JR137" s="21"/>
      <c r="JS137" s="21"/>
      <c r="JT137" s="21"/>
      <c r="JU137" s="21"/>
      <c r="JV137" s="21"/>
      <c r="JW137" s="168">
        <v>167087000</v>
      </c>
      <c r="JX137" s="168">
        <v>148436000</v>
      </c>
      <c r="JY137" s="21"/>
      <c r="JZ137" s="21"/>
      <c r="KA137" s="21"/>
      <c r="KB137" s="21"/>
      <c r="KC137" s="21"/>
      <c r="KD137" s="21"/>
      <c r="KE137" s="21"/>
      <c r="KF137" s="21"/>
      <c r="KG137" s="21"/>
      <c r="KH137" s="21"/>
      <c r="KI137" s="21"/>
      <c r="KJ137" s="21"/>
      <c r="KK137" s="21"/>
      <c r="KL137" s="21"/>
      <c r="KM137" s="21"/>
      <c r="KN137" s="21"/>
      <c r="KO137" s="21"/>
      <c r="KP137" s="21"/>
      <c r="KQ137" s="21"/>
      <c r="KR137" s="21"/>
      <c r="KS137" s="21"/>
      <c r="KT137" s="21"/>
      <c r="KU137" s="21"/>
      <c r="KV137" s="21"/>
      <c r="KW137" s="21"/>
      <c r="KX137" s="21"/>
      <c r="KY137" s="21"/>
      <c r="KZ137" s="21"/>
      <c r="LA137" s="168">
        <v>4997000</v>
      </c>
      <c r="LB137" s="168">
        <v>3994000</v>
      </c>
      <c r="LC137" s="21"/>
      <c r="LD137" s="21"/>
      <c r="LE137" s="21"/>
      <c r="LF137" s="21"/>
      <c r="LG137" s="21"/>
      <c r="LH137" s="21"/>
      <c r="LI137" s="168">
        <v>10362000</v>
      </c>
      <c r="LJ137" s="168">
        <v>8911000</v>
      </c>
      <c r="LK137" s="168">
        <v>18251000</v>
      </c>
      <c r="LL137" s="168">
        <v>15742000</v>
      </c>
      <c r="LM137" s="21"/>
      <c r="LN137" s="21"/>
      <c r="LO137" s="21"/>
      <c r="LP137" s="21"/>
      <c r="LQ137" s="21"/>
      <c r="LR137" s="21"/>
      <c r="LS137" s="21"/>
      <c r="LT137" s="21"/>
      <c r="LU137" s="21"/>
      <c r="LV137" s="21"/>
      <c r="LW137" s="21"/>
      <c r="LX137" s="21"/>
      <c r="LY137" s="21"/>
      <c r="LZ137" s="21"/>
      <c r="MA137" s="21"/>
      <c r="MB137" s="21"/>
      <c r="MC137" s="21"/>
      <c r="MD137" s="21"/>
      <c r="ME137" s="21"/>
      <c r="MF137" s="21"/>
      <c r="MG137" s="168">
        <v>8637000</v>
      </c>
      <c r="MH137" s="168">
        <v>7627000</v>
      </c>
      <c r="MI137" s="168">
        <v>47191000</v>
      </c>
      <c r="MJ137" s="168">
        <v>27231000</v>
      </c>
      <c r="MK137" s="21"/>
      <c r="ML137" s="21"/>
      <c r="MM137" s="21"/>
      <c r="MN137" s="21"/>
      <c r="MO137" s="21"/>
      <c r="MP137" s="21"/>
      <c r="MQ137" s="21"/>
      <c r="MR137" s="21"/>
      <c r="MS137" s="21"/>
      <c r="MT137" s="21"/>
      <c r="MU137" s="21"/>
      <c r="MV137" s="21"/>
      <c r="MW137" s="21"/>
      <c r="MX137" s="21"/>
      <c r="MY137" s="21"/>
      <c r="MZ137" s="21"/>
      <c r="NA137" s="21"/>
      <c r="NB137" s="21"/>
      <c r="NC137" s="168">
        <v>-1380000</v>
      </c>
      <c r="ND137" s="168">
        <v>-1176000</v>
      </c>
      <c r="NE137" s="21"/>
      <c r="NF137" s="21"/>
      <c r="NG137" s="168">
        <v>64024000</v>
      </c>
      <c r="NH137" s="168">
        <v>37224000</v>
      </c>
      <c r="NI137" s="21"/>
      <c r="NJ137" s="21"/>
      <c r="NK137" s="21"/>
      <c r="NL137" s="21"/>
      <c r="NM137" s="168">
        <v>59396000</v>
      </c>
      <c r="NN137" s="168">
        <v>47730000</v>
      </c>
      <c r="NO137" s="168">
        <v>163271000</v>
      </c>
      <c r="NP137" s="168">
        <v>130507000</v>
      </c>
      <c r="NQ137" s="168" t="s">
        <v>1567</v>
      </c>
      <c r="NR137" s="168" t="s">
        <v>802</v>
      </c>
      <c r="NS137" s="168" t="s">
        <v>770</v>
      </c>
      <c r="NT137" s="168" t="s">
        <v>771</v>
      </c>
      <c r="NU137" s="168">
        <v>7001</v>
      </c>
      <c r="NV137" s="168" t="s">
        <v>2104</v>
      </c>
      <c r="NW137" s="168" t="s">
        <v>28</v>
      </c>
      <c r="NX137" s="168" t="s">
        <v>25</v>
      </c>
      <c r="NY137" s="169">
        <v>42825</v>
      </c>
      <c r="NZ137" s="169">
        <v>42460</v>
      </c>
      <c r="OA137" s="169">
        <v>43010</v>
      </c>
      <c r="OB137" s="168" t="s">
        <v>1568</v>
      </c>
      <c r="OC137" s="168">
        <v>12</v>
      </c>
      <c r="OD137" s="168" t="s">
        <v>2106</v>
      </c>
      <c r="OE137" s="168" t="s">
        <v>2437</v>
      </c>
      <c r="OF137" s="168" t="s">
        <v>2645</v>
      </c>
      <c r="OG137" s="168" t="s">
        <v>2092</v>
      </c>
      <c r="OH137" s="168" t="s">
        <v>815</v>
      </c>
      <c r="OI137" s="168" t="s">
        <v>766</v>
      </c>
      <c r="OJ137" s="168" t="s">
        <v>3240</v>
      </c>
      <c r="OK137" s="168" t="s">
        <v>801</v>
      </c>
    </row>
    <row r="138" spans="1:401" x14ac:dyDescent="0.2">
      <c r="A138" s="170" t="str">
        <f>Liste[[#This Row],[Siren]]</f>
        <v>337643795</v>
      </c>
      <c r="B138" s="198" t="str">
        <f>Liste[[#This Row],[Dénomination]]&amp;" - comptes "&amp;YEAR(Liste[[#This Row],[Date de cloture de l''exercice]])</f>
        <v>CYBERGUN - comptes 2017</v>
      </c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168">
        <v>3346000</v>
      </c>
      <c r="S138" s="168">
        <v>3481000</v>
      </c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168">
        <v>5479000</v>
      </c>
      <c r="EI138" s="168">
        <v>7572000</v>
      </c>
      <c r="EJ138" s="21"/>
      <c r="EK138" s="21"/>
      <c r="EL138" s="168">
        <v>14551000</v>
      </c>
      <c r="EM138" s="168">
        <v>15422000</v>
      </c>
      <c r="EN138" s="21"/>
      <c r="EO138" s="21"/>
      <c r="EP138" s="168">
        <v>24085000</v>
      </c>
      <c r="EQ138" s="168">
        <v>34397000</v>
      </c>
      <c r="ER138" s="21"/>
      <c r="ES138" s="21"/>
      <c r="ET138" s="168">
        <v>38636000</v>
      </c>
      <c r="EU138" s="168">
        <v>49819000</v>
      </c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  <c r="FQ138" s="21"/>
      <c r="FR138" s="21"/>
      <c r="FS138" s="21"/>
      <c r="FT138" s="21"/>
      <c r="FU138" s="21"/>
      <c r="FV138" s="21"/>
      <c r="FW138" s="168">
        <v>-574000</v>
      </c>
      <c r="FX138" s="168">
        <v>-460000</v>
      </c>
      <c r="FY138" s="21"/>
      <c r="FZ138" s="21"/>
      <c r="GA138" s="21"/>
      <c r="GB138" s="21"/>
      <c r="GC138" s="21"/>
      <c r="GD138" s="21"/>
      <c r="GE138" s="21"/>
      <c r="GF138" s="21"/>
      <c r="GG138" s="168">
        <v>-14895000</v>
      </c>
      <c r="GH138" s="168">
        <v>-8088000</v>
      </c>
      <c r="GI138" s="21"/>
      <c r="GJ138" s="21"/>
      <c r="GK138" s="21"/>
      <c r="GL138" s="21"/>
      <c r="GM138" s="21"/>
      <c r="GN138" s="21"/>
      <c r="GO138" s="21"/>
      <c r="GP138" s="21"/>
      <c r="GQ138" s="21"/>
      <c r="GR138" s="168">
        <v>780000</v>
      </c>
      <c r="GS138" s="168">
        <v>-14895000</v>
      </c>
      <c r="GT138" s="168">
        <v>-8088000</v>
      </c>
      <c r="GU138" s="21"/>
      <c r="GV138" s="21"/>
      <c r="GW138" s="21"/>
      <c r="GX138" s="21"/>
      <c r="GY138" s="21"/>
      <c r="GZ138" s="21"/>
      <c r="HA138" s="21"/>
      <c r="HB138" s="21"/>
      <c r="HC138" s="168">
        <v>6823000</v>
      </c>
      <c r="HD138" s="168">
        <v>9288000</v>
      </c>
      <c r="HE138" s="21"/>
      <c r="HF138" s="21"/>
      <c r="HG138" s="21"/>
      <c r="HH138" s="21"/>
      <c r="HI138" s="21"/>
      <c r="HJ138" s="21"/>
      <c r="HK138" s="21"/>
      <c r="HL138" s="21"/>
      <c r="HM138" s="21"/>
      <c r="HN138" s="21"/>
      <c r="HO138" s="21"/>
      <c r="HP138" s="21"/>
      <c r="HQ138" s="21"/>
      <c r="HR138" s="21"/>
      <c r="HS138" s="21"/>
      <c r="HT138" s="21"/>
      <c r="HU138" s="21"/>
      <c r="HV138" s="21"/>
      <c r="HW138" s="21"/>
      <c r="HX138" s="21"/>
      <c r="HY138" s="21"/>
      <c r="HZ138" s="21"/>
      <c r="IA138" s="21"/>
      <c r="IB138" s="21"/>
      <c r="IC138" s="21"/>
      <c r="ID138" s="21"/>
      <c r="IE138" s="168">
        <v>198000</v>
      </c>
      <c r="IF138" s="168">
        <v>165000</v>
      </c>
      <c r="IG138" s="21"/>
      <c r="IH138" s="21"/>
      <c r="II138" s="21"/>
      <c r="IJ138" s="21"/>
      <c r="IK138" s="21"/>
      <c r="IL138" s="21"/>
      <c r="IM138" s="21"/>
      <c r="IN138" s="21"/>
      <c r="IO138" s="21"/>
      <c r="IP138" s="21"/>
      <c r="IQ138" s="21"/>
      <c r="IR138" s="21"/>
      <c r="IS138" s="21"/>
      <c r="IT138" s="21"/>
      <c r="IU138" s="21"/>
      <c r="IV138" s="21"/>
      <c r="IW138" s="21"/>
      <c r="IX138" s="21"/>
      <c r="IY138" s="21"/>
      <c r="IZ138" s="21"/>
      <c r="JA138" s="21"/>
      <c r="JB138" s="21"/>
      <c r="JC138" s="21"/>
      <c r="JD138" s="21"/>
      <c r="JE138" s="168">
        <v>5890000</v>
      </c>
      <c r="JF138" s="168">
        <v>6407000</v>
      </c>
      <c r="JG138" s="21"/>
      <c r="JH138" s="21"/>
      <c r="JI138" s="21"/>
      <c r="JJ138" s="21"/>
      <c r="JK138" s="21"/>
      <c r="JL138" s="21"/>
      <c r="JM138" s="21"/>
      <c r="JN138" s="21"/>
      <c r="JO138" s="21"/>
      <c r="JP138" s="21"/>
      <c r="JQ138" s="21"/>
      <c r="JR138" s="21"/>
      <c r="JS138" s="21"/>
      <c r="JT138" s="21"/>
      <c r="JU138" s="21"/>
      <c r="JV138" s="21"/>
      <c r="JW138" s="168">
        <v>33724000</v>
      </c>
      <c r="JX138" s="168">
        <v>41290000</v>
      </c>
      <c r="JY138" s="21"/>
      <c r="JZ138" s="21"/>
      <c r="KA138" s="21"/>
      <c r="KB138" s="21"/>
      <c r="KC138" s="21"/>
      <c r="KD138" s="21"/>
      <c r="KE138" s="21"/>
      <c r="KF138" s="21"/>
      <c r="KG138" s="21"/>
      <c r="KH138" s="21"/>
      <c r="KI138" s="21"/>
      <c r="KJ138" s="21"/>
      <c r="KK138" s="21"/>
      <c r="KL138" s="21"/>
      <c r="KM138" s="21"/>
      <c r="KN138" s="21"/>
      <c r="KO138" s="21"/>
      <c r="KP138" s="21"/>
      <c r="KQ138" s="21"/>
      <c r="KR138" s="21"/>
      <c r="KS138" s="21"/>
      <c r="KT138" s="21"/>
      <c r="KU138" s="168">
        <v>4674000</v>
      </c>
      <c r="KV138" s="168">
        <v>-9139000</v>
      </c>
      <c r="KW138" s="21"/>
      <c r="KX138" s="21"/>
      <c r="KY138" s="21"/>
      <c r="KZ138" s="21"/>
      <c r="LA138" s="168">
        <v>11078000</v>
      </c>
      <c r="LB138" s="168">
        <v>28578000</v>
      </c>
      <c r="LC138" s="21"/>
      <c r="LD138" s="21"/>
      <c r="LE138" s="21"/>
      <c r="LF138" s="21"/>
      <c r="LG138" s="21"/>
      <c r="LH138" s="21"/>
      <c r="LI138" s="168">
        <v>271000</v>
      </c>
      <c r="LJ138" s="168">
        <v>238000</v>
      </c>
      <c r="LK138" s="168">
        <v>6454000</v>
      </c>
      <c r="LL138" s="168">
        <v>7010000</v>
      </c>
      <c r="LM138" s="21"/>
      <c r="LN138" s="21"/>
      <c r="LO138" s="21"/>
      <c r="LP138" s="21"/>
      <c r="LQ138" s="21"/>
      <c r="LR138" s="21"/>
      <c r="LS138" s="21"/>
      <c r="LT138" s="21"/>
      <c r="LU138" s="21"/>
      <c r="LV138" s="21"/>
      <c r="LW138" s="21"/>
      <c r="LX138" s="21"/>
      <c r="LY138" s="21"/>
      <c r="LZ138" s="21"/>
      <c r="MA138" s="168">
        <v>3121000</v>
      </c>
      <c r="MB138" s="168">
        <v>463300</v>
      </c>
      <c r="MC138" s="168">
        <v>10833000</v>
      </c>
      <c r="MD138" s="168">
        <v>10024000</v>
      </c>
      <c r="ME138" s="21"/>
      <c r="MF138" s="21"/>
      <c r="MG138" s="21"/>
      <c r="MH138" s="21"/>
      <c r="MI138" s="21"/>
      <c r="MJ138" s="21"/>
      <c r="MK138" s="21"/>
      <c r="ML138" s="21"/>
      <c r="MM138" s="21"/>
      <c r="MN138" s="21"/>
      <c r="MO138" s="21"/>
      <c r="MP138" s="21"/>
      <c r="MQ138" s="21"/>
      <c r="MR138" s="21"/>
      <c r="MS138" s="21"/>
      <c r="MT138" s="21"/>
      <c r="MU138" s="21"/>
      <c r="MV138" s="21"/>
      <c r="MW138" s="21"/>
      <c r="MX138" s="21"/>
      <c r="MY138" s="21"/>
      <c r="MZ138" s="21"/>
      <c r="NA138" s="21"/>
      <c r="NB138" s="21"/>
      <c r="NC138" s="168">
        <v>-14895000</v>
      </c>
      <c r="ND138" s="168">
        <v>-8088000</v>
      </c>
      <c r="NE138" s="21"/>
      <c r="NF138" s="21"/>
      <c r="NG138" s="168">
        <v>891000</v>
      </c>
      <c r="NH138" s="168">
        <v>11351000</v>
      </c>
      <c r="NI138" s="21"/>
      <c r="NJ138" s="21"/>
      <c r="NK138" s="168">
        <v>34000</v>
      </c>
      <c r="NL138" s="21"/>
      <c r="NM138" s="168">
        <v>37745000</v>
      </c>
      <c r="NN138" s="168">
        <v>38469000</v>
      </c>
      <c r="NO138" s="168">
        <v>38636000</v>
      </c>
      <c r="NP138" s="168">
        <v>49819000</v>
      </c>
      <c r="NQ138" s="168" t="s">
        <v>1303</v>
      </c>
      <c r="NR138" s="168" t="s">
        <v>965</v>
      </c>
      <c r="NS138" s="168" t="s">
        <v>770</v>
      </c>
      <c r="NT138" s="168" t="s">
        <v>771</v>
      </c>
      <c r="NU138" s="168">
        <v>7801</v>
      </c>
      <c r="NV138" s="168" t="s">
        <v>2104</v>
      </c>
      <c r="NW138" s="168" t="s">
        <v>28</v>
      </c>
      <c r="NX138" s="168" t="s">
        <v>25</v>
      </c>
      <c r="NY138" s="169">
        <v>42825</v>
      </c>
      <c r="NZ138" s="169">
        <v>42460</v>
      </c>
      <c r="OA138" s="169">
        <v>43089</v>
      </c>
      <c r="OB138" s="168" t="s">
        <v>3265</v>
      </c>
      <c r="OC138" s="168">
        <v>12</v>
      </c>
      <c r="OD138" s="168" t="s">
        <v>2105</v>
      </c>
      <c r="OE138" s="168" t="s">
        <v>3266</v>
      </c>
      <c r="OF138" s="168" t="s">
        <v>3267</v>
      </c>
      <c r="OG138" s="168" t="s">
        <v>3268</v>
      </c>
      <c r="OH138" s="168" t="s">
        <v>772</v>
      </c>
      <c r="OI138" s="168" t="s">
        <v>766</v>
      </c>
      <c r="OJ138" s="168" t="s">
        <v>3240</v>
      </c>
      <c r="OK138" s="168" t="s">
        <v>963</v>
      </c>
    </row>
    <row r="139" spans="1:401" x14ac:dyDescent="0.2">
      <c r="A139" s="170" t="str">
        <f>Liste[[#This Row],[Siren]]</f>
        <v>529335903</v>
      </c>
      <c r="B139" s="198" t="str">
        <f>Liste[[#This Row],[Dénomination]]&amp;" - comptes "&amp;YEAR(Liste[[#This Row],[Date de cloture de l''exercice]])</f>
        <v>GROUPE SWS - comptes 2017</v>
      </c>
      <c r="C139" s="21"/>
      <c r="D139" s="21"/>
      <c r="E139" s="168">
        <v>51446</v>
      </c>
      <c r="F139" s="168">
        <v>1899964</v>
      </c>
      <c r="G139" s="168">
        <v>2529708</v>
      </c>
      <c r="H139" s="168">
        <v>1951410</v>
      </c>
      <c r="I139" s="168">
        <v>543572</v>
      </c>
      <c r="J139" s="168">
        <v>242690</v>
      </c>
      <c r="K139" s="168">
        <v>275195</v>
      </c>
      <c r="L139" s="168">
        <v>786262</v>
      </c>
      <c r="M139" s="21"/>
      <c r="N139" s="168">
        <v>316509</v>
      </c>
      <c r="O139" s="168">
        <v>316380</v>
      </c>
      <c r="P139" s="168">
        <v>316509</v>
      </c>
      <c r="Q139" s="21"/>
      <c r="R139" s="168">
        <v>30445</v>
      </c>
      <c r="S139" s="168">
        <v>77960</v>
      </c>
      <c r="T139" s="168">
        <v>30445</v>
      </c>
      <c r="U139" s="168">
        <v>600</v>
      </c>
      <c r="V139" s="21"/>
      <c r="W139" s="168">
        <v>6568</v>
      </c>
      <c r="X139" s="168">
        <v>600</v>
      </c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168">
        <v>37551</v>
      </c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168">
        <v>167684</v>
      </c>
      <c r="BA139" s="168">
        <v>252791</v>
      </c>
      <c r="BB139" s="168">
        <v>167684</v>
      </c>
      <c r="BC139" s="168">
        <v>302504</v>
      </c>
      <c r="BD139" s="168">
        <v>13121005</v>
      </c>
      <c r="BE139" s="168">
        <v>13530939</v>
      </c>
      <c r="BF139" s="168">
        <v>13423509</v>
      </c>
      <c r="BG139" s="168">
        <v>219483</v>
      </c>
      <c r="BH139" s="168">
        <v>97413</v>
      </c>
      <c r="BI139" s="168">
        <v>18142</v>
      </c>
      <c r="BJ139" s="168">
        <v>316896</v>
      </c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168">
        <v>3617225</v>
      </c>
      <c r="BY139" s="168">
        <v>2810794</v>
      </c>
      <c r="BZ139" s="168">
        <v>3617225</v>
      </c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168">
        <v>406</v>
      </c>
      <c r="DG139" s="168">
        <v>2123</v>
      </c>
      <c r="DH139" s="168">
        <v>2439</v>
      </c>
      <c r="DI139" s="168">
        <v>2529</v>
      </c>
      <c r="DJ139" s="21"/>
      <c r="DK139" s="168">
        <v>217793</v>
      </c>
      <c r="DL139" s="168">
        <v>202849</v>
      </c>
      <c r="DM139" s="168">
        <v>217793</v>
      </c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168">
        <v>865882</v>
      </c>
      <c r="EL139" s="168">
        <v>1387072</v>
      </c>
      <c r="EM139" s="168">
        <v>1428593</v>
      </c>
      <c r="EN139" s="168">
        <v>2252954</v>
      </c>
      <c r="EO139" s="168">
        <v>353950</v>
      </c>
      <c r="EP139" s="168">
        <v>19023686</v>
      </c>
      <c r="EQ139" s="168">
        <v>20166046</v>
      </c>
      <c r="ER139" s="168">
        <v>19377636</v>
      </c>
      <c r="ES139" s="168">
        <v>1219832</v>
      </c>
      <c r="ET139" s="168">
        <v>20410758</v>
      </c>
      <c r="EU139" s="168">
        <v>21594639</v>
      </c>
      <c r="EV139" s="168">
        <v>21630590</v>
      </c>
      <c r="EW139" s="21"/>
      <c r="EX139" s="21"/>
      <c r="EY139" s="21"/>
      <c r="EZ139" s="21"/>
      <c r="FA139" s="21"/>
      <c r="FB139" s="21"/>
      <c r="FC139" s="21"/>
      <c r="FD139" s="21"/>
      <c r="FE139" s="21"/>
      <c r="FF139" s="168">
        <v>15</v>
      </c>
      <c r="FG139" s="168">
        <v>801412</v>
      </c>
      <c r="FH139" s="168">
        <v>15</v>
      </c>
      <c r="FI139" s="168">
        <v>-482710</v>
      </c>
      <c r="FJ139" s="168">
        <v>-885933</v>
      </c>
      <c r="FK139" s="21"/>
      <c r="FL139" s="21"/>
      <c r="FM139" s="168">
        <v>600195</v>
      </c>
      <c r="FN139" s="168">
        <v>639504</v>
      </c>
      <c r="FO139" s="168">
        <v>129122</v>
      </c>
      <c r="FP139" s="168">
        <v>45215</v>
      </c>
      <c r="FQ139" s="21"/>
      <c r="FR139" s="21"/>
      <c r="FS139" s="21"/>
      <c r="FT139" s="168">
        <v>300000</v>
      </c>
      <c r="FU139" s="21"/>
      <c r="FV139" s="21"/>
      <c r="FW139" s="168">
        <v>458730</v>
      </c>
      <c r="FX139" s="168">
        <v>722211</v>
      </c>
      <c r="FY139" s="168">
        <v>160373</v>
      </c>
      <c r="FZ139" s="168">
        <v>160355</v>
      </c>
      <c r="GA139" s="21"/>
      <c r="GB139" s="21"/>
      <c r="GC139" s="168">
        <v>78944</v>
      </c>
      <c r="GD139" s="168">
        <v>98786</v>
      </c>
      <c r="GE139" s="168">
        <v>167664</v>
      </c>
      <c r="GF139" s="21"/>
      <c r="GG139" s="21"/>
      <c r="GH139" s="21"/>
      <c r="GI139" s="21"/>
      <c r="GJ139" s="21"/>
      <c r="GK139" s="21"/>
      <c r="GL139" s="21"/>
      <c r="GM139" s="168">
        <v>735961</v>
      </c>
      <c r="GN139" s="168">
        <v>1475870</v>
      </c>
      <c r="GO139" s="21"/>
      <c r="GP139" s="21"/>
      <c r="GQ139" s="21"/>
      <c r="GR139" s="21"/>
      <c r="GS139" s="168">
        <v>575588</v>
      </c>
      <c r="GT139" s="168">
        <v>1315514</v>
      </c>
      <c r="GU139" s="168">
        <v>729317</v>
      </c>
      <c r="GV139" s="168">
        <v>984719</v>
      </c>
      <c r="GW139" s="168">
        <v>246608</v>
      </c>
      <c r="GX139" s="168">
        <v>98786</v>
      </c>
      <c r="GY139" s="168">
        <v>27936013</v>
      </c>
      <c r="GZ139" s="168">
        <v>27584616</v>
      </c>
      <c r="HA139" s="21"/>
      <c r="HB139" s="21"/>
      <c r="HC139" s="168">
        <v>8895401</v>
      </c>
      <c r="HD139" s="168">
        <v>8187470</v>
      </c>
      <c r="HE139" s="168">
        <v>513945</v>
      </c>
      <c r="HF139" s="168">
        <v>244018</v>
      </c>
      <c r="HG139" s="168">
        <v>9785</v>
      </c>
      <c r="HH139" s="168">
        <v>9306</v>
      </c>
      <c r="HI139" s="168">
        <v>504</v>
      </c>
      <c r="HJ139" s="168">
        <v>4322</v>
      </c>
      <c r="HK139" s="21"/>
      <c r="HL139" s="21"/>
      <c r="HM139" s="21"/>
      <c r="HN139" s="21"/>
      <c r="HO139" s="168">
        <v>2493468</v>
      </c>
      <c r="HP139" s="168">
        <v>2175522</v>
      </c>
      <c r="HQ139" s="21"/>
      <c r="HR139" s="21"/>
      <c r="HS139" s="168">
        <v>667</v>
      </c>
      <c r="HT139" s="168">
        <v>10958</v>
      </c>
      <c r="HU139" s="168">
        <v>215528</v>
      </c>
      <c r="HV139" s="168">
        <v>198033</v>
      </c>
      <c r="HW139" s="168">
        <v>51446</v>
      </c>
      <c r="HX139" s="21"/>
      <c r="HY139" s="168">
        <v>205000</v>
      </c>
      <c r="HZ139" s="21"/>
      <c r="IA139" s="168">
        <v>292399</v>
      </c>
      <c r="IB139" s="168">
        <v>27931</v>
      </c>
      <c r="IC139" s="168">
        <v>600</v>
      </c>
      <c r="ID139" s="21"/>
      <c r="IE139" s="168">
        <v>378660</v>
      </c>
      <c r="IF139" s="168">
        <v>272179</v>
      </c>
      <c r="IG139" s="168">
        <v>56430</v>
      </c>
      <c r="IH139" s="168">
        <v>64884</v>
      </c>
      <c r="II139" s="21"/>
      <c r="IJ139" s="21"/>
      <c r="IK139" s="21"/>
      <c r="IL139" s="21"/>
      <c r="IM139" s="21"/>
      <c r="IN139" s="21"/>
      <c r="IO139" s="21"/>
      <c r="IP139" s="21"/>
      <c r="IQ139" s="21"/>
      <c r="IR139" s="21"/>
      <c r="IS139" s="21"/>
      <c r="IT139" s="21"/>
      <c r="IU139" s="168">
        <v>1677401</v>
      </c>
      <c r="IV139" s="168">
        <v>3084013</v>
      </c>
      <c r="IW139" s="168">
        <v>1723979</v>
      </c>
      <c r="IX139" s="168">
        <v>3128634</v>
      </c>
      <c r="IY139" s="168">
        <v>-46578</v>
      </c>
      <c r="IZ139" s="168">
        <v>-44620</v>
      </c>
      <c r="JA139" s="168">
        <v>284854</v>
      </c>
      <c r="JB139" s="168">
        <v>144125</v>
      </c>
      <c r="JC139" s="21"/>
      <c r="JD139" s="21"/>
      <c r="JE139" s="168">
        <v>5892292</v>
      </c>
      <c r="JF139" s="168">
        <v>5330866</v>
      </c>
      <c r="JG139" s="21"/>
      <c r="JH139" s="168">
        <v>1000</v>
      </c>
      <c r="JI139" s="168">
        <v>46859208</v>
      </c>
      <c r="JJ139" s="168">
        <v>45277145</v>
      </c>
      <c r="JK139" s="168">
        <v>57030</v>
      </c>
      <c r="JL139" s="168">
        <v>64884</v>
      </c>
      <c r="JM139" s="168">
        <v>48583187</v>
      </c>
      <c r="JN139" s="168">
        <v>48405779</v>
      </c>
      <c r="JO139" s="168">
        <v>10452</v>
      </c>
      <c r="JP139" s="168">
        <v>20264</v>
      </c>
      <c r="JQ139" s="168">
        <v>-14944</v>
      </c>
      <c r="JR139" s="168">
        <v>1256510</v>
      </c>
      <c r="JS139" s="21"/>
      <c r="JT139" s="21"/>
      <c r="JU139" s="21"/>
      <c r="JV139" s="168">
        <v>48297828</v>
      </c>
      <c r="JW139" s="168">
        <v>48297828</v>
      </c>
      <c r="JX139" s="168">
        <v>48256332</v>
      </c>
      <c r="JY139" s="21"/>
      <c r="JZ139" s="21"/>
      <c r="KA139" s="21"/>
      <c r="KB139" s="21"/>
      <c r="KC139" s="21"/>
      <c r="KD139" s="168">
        <v>13426771</v>
      </c>
      <c r="KE139" s="168">
        <v>13426771</v>
      </c>
      <c r="KF139" s="168">
        <v>12808276</v>
      </c>
      <c r="KG139" s="21"/>
      <c r="KH139" s="168">
        <v>34871057</v>
      </c>
      <c r="KI139" s="168">
        <v>34871057</v>
      </c>
      <c r="KJ139" s="168">
        <v>35448056</v>
      </c>
      <c r="KK139" s="21"/>
      <c r="KL139" s="168">
        <v>705</v>
      </c>
      <c r="KM139" s="21"/>
      <c r="KN139" s="21"/>
      <c r="KO139" s="21"/>
      <c r="KP139" s="21"/>
      <c r="KQ139" s="168">
        <v>193777</v>
      </c>
      <c r="KR139" s="168">
        <v>174596</v>
      </c>
      <c r="KS139" s="21"/>
      <c r="KT139" s="21"/>
      <c r="KU139" s="21"/>
      <c r="KV139" s="21"/>
      <c r="KW139" s="21"/>
      <c r="KX139" s="21"/>
      <c r="KY139" s="21"/>
      <c r="KZ139" s="21"/>
      <c r="LA139" s="168">
        <v>1701600</v>
      </c>
      <c r="LB139" s="168">
        <v>1701600</v>
      </c>
      <c r="LC139" s="21"/>
      <c r="LD139" s="21"/>
      <c r="LE139" s="168">
        <v>160373</v>
      </c>
      <c r="LF139" s="168">
        <v>160355</v>
      </c>
      <c r="LG139" s="21"/>
      <c r="LH139" s="21"/>
      <c r="LI139" s="168">
        <v>3349293</v>
      </c>
      <c r="LJ139" s="168">
        <v>4990477</v>
      </c>
      <c r="LK139" s="168">
        <v>11086715</v>
      </c>
      <c r="LL139" s="168">
        <v>11232732</v>
      </c>
      <c r="LM139" s="21"/>
      <c r="LN139" s="21"/>
      <c r="LO139" s="21"/>
      <c r="LP139" s="21"/>
      <c r="LQ139" s="21"/>
      <c r="LR139" s="21"/>
      <c r="LS139" s="21"/>
      <c r="LT139" s="21"/>
      <c r="LU139" s="21"/>
      <c r="LV139" s="21"/>
      <c r="LW139" s="21"/>
      <c r="LX139" s="21"/>
      <c r="LY139" s="21"/>
      <c r="LZ139" s="21"/>
      <c r="MA139" s="168">
        <v>1927561</v>
      </c>
      <c r="MB139" s="168">
        <v>1929182</v>
      </c>
      <c r="MC139" s="168">
        <v>21203</v>
      </c>
      <c r="MD139" s="168">
        <v>23028</v>
      </c>
      <c r="ME139" s="21"/>
      <c r="MF139" s="21"/>
      <c r="MG139" s="21"/>
      <c r="MH139" s="21"/>
      <c r="MI139" s="21"/>
      <c r="MJ139" s="21"/>
      <c r="MK139" s="21"/>
      <c r="ML139" s="21"/>
      <c r="MM139" s="21"/>
      <c r="MN139" s="21"/>
      <c r="MO139" s="21"/>
      <c r="MP139" s="21"/>
      <c r="MQ139" s="168">
        <v>351680</v>
      </c>
      <c r="MR139" s="168">
        <v>329191</v>
      </c>
      <c r="MS139" s="21"/>
      <c r="MT139" s="21"/>
      <c r="MU139" s="21"/>
      <c r="MV139" s="21"/>
      <c r="MW139" s="168">
        <v>170160</v>
      </c>
      <c r="MX139" s="168">
        <v>170160</v>
      </c>
      <c r="MY139" s="21"/>
      <c r="MZ139" s="21"/>
      <c r="NA139" s="21"/>
      <c r="NB139" s="21"/>
      <c r="NC139" s="168">
        <v>575588</v>
      </c>
      <c r="ND139" s="168">
        <v>1315514</v>
      </c>
      <c r="NE139" s="21"/>
      <c r="NF139" s="21"/>
      <c r="NG139" s="168">
        <v>2749489</v>
      </c>
      <c r="NH139" s="168">
        <v>2344061</v>
      </c>
      <c r="NI139" s="21"/>
      <c r="NJ139" s="21"/>
      <c r="NK139" s="168">
        <v>731039</v>
      </c>
      <c r="NL139" s="168">
        <v>570664</v>
      </c>
      <c r="NM139" s="168">
        <v>16578549</v>
      </c>
      <c r="NN139" s="168">
        <v>18350016</v>
      </c>
      <c r="NO139" s="168">
        <v>20410758</v>
      </c>
      <c r="NP139" s="168">
        <v>21594639</v>
      </c>
      <c r="NQ139" s="168" t="s">
        <v>903</v>
      </c>
      <c r="NR139" s="168" t="s">
        <v>779</v>
      </c>
      <c r="NS139" s="168" t="s">
        <v>770</v>
      </c>
      <c r="NT139" s="168" t="s">
        <v>771</v>
      </c>
      <c r="NU139" s="168">
        <v>9201</v>
      </c>
      <c r="NV139" s="168" t="s">
        <v>2104</v>
      </c>
      <c r="NW139" s="168" t="s">
        <v>28</v>
      </c>
      <c r="NX139" s="168" t="s">
        <v>25</v>
      </c>
      <c r="NY139" s="169">
        <v>42825</v>
      </c>
      <c r="NZ139" s="169">
        <v>42460</v>
      </c>
      <c r="OA139" s="169">
        <v>43070</v>
      </c>
      <c r="OB139" s="168" t="s">
        <v>1017</v>
      </c>
      <c r="OC139" s="168">
        <v>12</v>
      </c>
      <c r="OD139" s="168" t="s">
        <v>2106</v>
      </c>
      <c r="OE139" s="168" t="s">
        <v>2540</v>
      </c>
      <c r="OF139" s="168" t="s">
        <v>2219</v>
      </c>
      <c r="OG139" s="168" t="s">
        <v>1847</v>
      </c>
      <c r="OH139" s="168" t="s">
        <v>777</v>
      </c>
      <c r="OI139" s="168" t="s">
        <v>766</v>
      </c>
      <c r="OJ139" s="168" t="s">
        <v>3240</v>
      </c>
      <c r="OK139" s="168" t="s">
        <v>778</v>
      </c>
    </row>
    <row r="140" spans="1:401" x14ac:dyDescent="0.2">
      <c r="A140" s="170" t="str">
        <f>Liste[[#This Row],[Siren]]</f>
        <v>451390041</v>
      </c>
      <c r="B140" s="198" t="str">
        <f>Liste[[#This Row],[Dénomination]]&amp;" - comptes "&amp;YEAR(Liste[[#This Row],[Date de cloture de l''exercice]])</f>
        <v>F.G.M. - comptes 2017</v>
      </c>
      <c r="C140" s="21"/>
      <c r="D140" s="21"/>
      <c r="E140" s="21"/>
      <c r="F140" s="168">
        <v>2519891</v>
      </c>
      <c r="G140" s="168">
        <v>1269629</v>
      </c>
      <c r="H140" s="168">
        <v>2519891</v>
      </c>
      <c r="I140" s="168">
        <v>2889255</v>
      </c>
      <c r="J140" s="168">
        <v>1892070</v>
      </c>
      <c r="K140" s="168">
        <v>1730957</v>
      </c>
      <c r="L140" s="168">
        <v>4781325</v>
      </c>
      <c r="M140" s="21"/>
      <c r="N140" s="168">
        <v>647093</v>
      </c>
      <c r="O140" s="168">
        <v>422122</v>
      </c>
      <c r="P140" s="168">
        <v>647093</v>
      </c>
      <c r="Q140" s="168">
        <v>1083369</v>
      </c>
      <c r="R140" s="168">
        <v>261951</v>
      </c>
      <c r="S140" s="168">
        <v>181195</v>
      </c>
      <c r="T140" s="168">
        <v>1345320</v>
      </c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168">
        <v>70644</v>
      </c>
      <c r="AM140" s="168">
        <v>143168</v>
      </c>
      <c r="AN140" s="168">
        <v>70644</v>
      </c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168">
        <v>572592</v>
      </c>
      <c r="BA140" s="168">
        <v>571590</v>
      </c>
      <c r="BB140" s="168">
        <v>572592</v>
      </c>
      <c r="BC140" s="168">
        <v>251196</v>
      </c>
      <c r="BD140" s="168">
        <v>8899288</v>
      </c>
      <c r="BE140" s="168">
        <v>6130124</v>
      </c>
      <c r="BF140" s="168">
        <v>9150484</v>
      </c>
      <c r="BG140" s="168">
        <v>128871</v>
      </c>
      <c r="BH140" s="168">
        <v>11167</v>
      </c>
      <c r="BI140" s="168">
        <v>21195</v>
      </c>
      <c r="BJ140" s="168">
        <v>140038</v>
      </c>
      <c r="BK140" s="168">
        <v>3140148</v>
      </c>
      <c r="BL140" s="168">
        <v>4307896</v>
      </c>
      <c r="BM140" s="168">
        <v>4697970</v>
      </c>
      <c r="BN140" s="168">
        <v>7448044</v>
      </c>
      <c r="BO140" s="21"/>
      <c r="BP140" s="168">
        <v>253959</v>
      </c>
      <c r="BQ140" s="168">
        <v>240779</v>
      </c>
      <c r="BR140" s="168">
        <v>253959</v>
      </c>
      <c r="BS140" s="21"/>
      <c r="BT140" s="21"/>
      <c r="BU140" s="21"/>
      <c r="BV140" s="21"/>
      <c r="BW140" s="21"/>
      <c r="BX140" s="168">
        <v>5318112</v>
      </c>
      <c r="BY140" s="168">
        <v>2391963</v>
      </c>
      <c r="BZ140" s="168">
        <v>5318112</v>
      </c>
      <c r="CA140" s="21"/>
      <c r="CB140" s="21"/>
      <c r="CC140" s="21"/>
      <c r="CD140" s="21"/>
      <c r="CE140" s="21"/>
      <c r="CF140" s="21"/>
      <c r="CG140" s="21"/>
      <c r="CH140" s="21"/>
      <c r="CI140" s="168">
        <v>440264</v>
      </c>
      <c r="CJ140" s="168">
        <v>122656</v>
      </c>
      <c r="CK140" s="168">
        <v>440264</v>
      </c>
      <c r="CL140" s="21"/>
      <c r="CM140" s="21"/>
      <c r="CN140" s="21"/>
      <c r="CO140" s="21"/>
      <c r="CP140" s="168">
        <v>954498</v>
      </c>
      <c r="CQ140" s="168">
        <v>250784</v>
      </c>
      <c r="CR140" s="168">
        <v>160000</v>
      </c>
      <c r="CS140" s="168">
        <v>1205282</v>
      </c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168">
        <v>14641270</v>
      </c>
      <c r="DG140" s="168">
        <v>7644542</v>
      </c>
      <c r="DH140" s="168">
        <v>7709997</v>
      </c>
      <c r="DI140" s="168">
        <v>22285812</v>
      </c>
      <c r="DJ140" s="21"/>
      <c r="DK140" s="168">
        <v>5759965</v>
      </c>
      <c r="DL140" s="168">
        <v>3984208</v>
      </c>
      <c r="DM140" s="168">
        <v>5759965</v>
      </c>
      <c r="DN140" s="21"/>
      <c r="DO140" s="21"/>
      <c r="DP140" s="21"/>
      <c r="DQ140" s="21"/>
      <c r="DR140" s="21"/>
      <c r="DS140" s="168">
        <v>204279</v>
      </c>
      <c r="DT140" s="21"/>
      <c r="DU140" s="168">
        <v>204279</v>
      </c>
      <c r="DV140" s="21"/>
      <c r="DW140" s="168">
        <v>3700</v>
      </c>
      <c r="DX140" s="168">
        <v>4000</v>
      </c>
      <c r="DY140" s="168">
        <v>3700</v>
      </c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168">
        <v>22322925</v>
      </c>
      <c r="EL140" s="168">
        <v>18127277</v>
      </c>
      <c r="EM140" s="168">
        <v>16164523</v>
      </c>
      <c r="EN140" s="168">
        <v>40450202</v>
      </c>
      <c r="EO140" s="168">
        <v>251196</v>
      </c>
      <c r="EP140" s="168">
        <v>24759280</v>
      </c>
      <c r="EQ140" s="168">
        <v>15783644</v>
      </c>
      <c r="ER140" s="168">
        <v>25010476</v>
      </c>
      <c r="ES140" s="168">
        <v>22574121</v>
      </c>
      <c r="ET140" s="168">
        <v>42886557</v>
      </c>
      <c r="EU140" s="168">
        <v>31948168</v>
      </c>
      <c r="EV140" s="168">
        <v>65460678</v>
      </c>
      <c r="EW140" s="168">
        <v>568883</v>
      </c>
      <c r="EX140" s="168">
        <v>1079721</v>
      </c>
      <c r="EY140" s="168">
        <v>1082560</v>
      </c>
      <c r="EZ140" s="168">
        <v>1648604</v>
      </c>
      <c r="FA140" s="21"/>
      <c r="FB140" s="21"/>
      <c r="FC140" s="21"/>
      <c r="FD140" s="21"/>
      <c r="FE140" s="21"/>
      <c r="FF140" s="168">
        <v>1178524</v>
      </c>
      <c r="FG140" s="168">
        <v>1170306</v>
      </c>
      <c r="FH140" s="168">
        <v>1178524</v>
      </c>
      <c r="FI140" s="168">
        <v>69277</v>
      </c>
      <c r="FJ140" s="168">
        <v>103008</v>
      </c>
      <c r="FK140" s="21"/>
      <c r="FL140" s="21"/>
      <c r="FM140" s="21"/>
      <c r="FN140" s="21"/>
      <c r="FO140" s="21"/>
      <c r="FP140" s="21"/>
      <c r="FQ140" s="21"/>
      <c r="FR140" s="21"/>
      <c r="FS140" s="21"/>
      <c r="FT140" s="21"/>
      <c r="FU140" s="21"/>
      <c r="FV140" s="21"/>
      <c r="FW140" s="168">
        <v>711459</v>
      </c>
      <c r="FX140" s="168">
        <v>67288</v>
      </c>
      <c r="FY140" s="168">
        <v>13733</v>
      </c>
      <c r="FZ140" s="168">
        <v>13605</v>
      </c>
      <c r="GA140" s="21"/>
      <c r="GB140" s="21"/>
      <c r="GC140" s="21"/>
      <c r="GD140" s="21"/>
      <c r="GE140" s="21"/>
      <c r="GF140" s="21"/>
      <c r="GG140" s="21"/>
      <c r="GH140" s="21"/>
      <c r="GI140" s="21"/>
      <c r="GJ140" s="21"/>
      <c r="GK140" s="21"/>
      <c r="GL140" s="21"/>
      <c r="GM140" s="21"/>
      <c r="GN140" s="21"/>
      <c r="GO140" s="21"/>
      <c r="GP140" s="21"/>
      <c r="GQ140" s="168">
        <v>37863</v>
      </c>
      <c r="GR140" s="21"/>
      <c r="GS140" s="168">
        <v>1432398</v>
      </c>
      <c r="GT140" s="168">
        <v>314391</v>
      </c>
      <c r="GU140" s="168">
        <v>273190</v>
      </c>
      <c r="GV140" s="168">
        <v>206283</v>
      </c>
      <c r="GW140" s="168">
        <v>342467</v>
      </c>
      <c r="GX140" s="168">
        <v>309291</v>
      </c>
      <c r="GY140" s="168">
        <v>43453032</v>
      </c>
      <c r="GZ140" s="168">
        <v>29431425</v>
      </c>
      <c r="HA140" s="168">
        <v>48796</v>
      </c>
      <c r="HB140" s="168">
        <v>78540</v>
      </c>
      <c r="HC140" s="168">
        <v>6224376</v>
      </c>
      <c r="HD140" s="168">
        <v>5319421</v>
      </c>
      <c r="HE140" s="168">
        <v>1059</v>
      </c>
      <c r="HF140" s="168">
        <v>61152</v>
      </c>
      <c r="HG140" s="21"/>
      <c r="HH140" s="21"/>
      <c r="HI140" s="168">
        <v>958097</v>
      </c>
      <c r="HJ140" s="168">
        <v>377100</v>
      </c>
      <c r="HK140" s="21"/>
      <c r="HL140" s="21"/>
      <c r="HM140" s="21"/>
      <c r="HN140" s="21"/>
      <c r="HO140" s="21"/>
      <c r="HP140" s="21"/>
      <c r="HQ140" s="21"/>
      <c r="HR140" s="21"/>
      <c r="HS140" s="21"/>
      <c r="HT140" s="21"/>
      <c r="HU140" s="21"/>
      <c r="HV140" s="21"/>
      <c r="HW140" s="21"/>
      <c r="HX140" s="21"/>
      <c r="HY140" s="21"/>
      <c r="HZ140" s="21"/>
      <c r="IA140" s="21"/>
      <c r="IB140" s="21"/>
      <c r="IC140" s="21"/>
      <c r="ID140" s="21"/>
      <c r="IE140" s="168">
        <v>632927</v>
      </c>
      <c r="IF140" s="168">
        <v>520969</v>
      </c>
      <c r="IG140" s="21"/>
      <c r="IH140" s="21"/>
      <c r="II140" s="21"/>
      <c r="IJ140" s="21"/>
      <c r="IK140" s="21"/>
      <c r="IL140" s="21"/>
      <c r="IM140" s="168">
        <v>388267</v>
      </c>
      <c r="IN140" s="168">
        <v>385980</v>
      </c>
      <c r="IO140" s="21"/>
      <c r="IP140" s="21"/>
      <c r="IQ140" s="21"/>
      <c r="IR140" s="21"/>
      <c r="IS140" s="21"/>
      <c r="IT140" s="21"/>
      <c r="IU140" s="168">
        <v>2050450</v>
      </c>
      <c r="IV140" s="168">
        <v>292276</v>
      </c>
      <c r="IW140" s="168">
        <v>2262625</v>
      </c>
      <c r="IX140" s="168">
        <v>589684</v>
      </c>
      <c r="IY140" s="168">
        <v>212175</v>
      </c>
      <c r="IZ140" s="168">
        <v>297408</v>
      </c>
      <c r="JA140" s="21"/>
      <c r="JB140" s="21"/>
      <c r="JC140" s="21"/>
      <c r="JD140" s="21"/>
      <c r="JE140" s="21"/>
      <c r="JF140" s="21"/>
      <c r="JG140" s="168">
        <v>19760</v>
      </c>
      <c r="JH140" s="21"/>
      <c r="JI140" s="168">
        <v>56764235</v>
      </c>
      <c r="JJ140" s="168">
        <v>42245358</v>
      </c>
      <c r="JK140" s="168">
        <v>255320</v>
      </c>
      <c r="JL140" s="168">
        <v>314899</v>
      </c>
      <c r="JM140" s="168">
        <v>59026860</v>
      </c>
      <c r="JN140" s="168">
        <v>42835042</v>
      </c>
      <c r="JO140" s="168">
        <v>43145</v>
      </c>
      <c r="JP140" s="168">
        <v>17491</v>
      </c>
      <c r="JQ140" s="168">
        <v>1394849</v>
      </c>
      <c r="JR140" s="168">
        <v>263714</v>
      </c>
      <c r="JS140" s="21"/>
      <c r="JT140" s="21"/>
      <c r="JU140" s="21"/>
      <c r="JV140" s="21"/>
      <c r="JW140" s="168">
        <v>57660736</v>
      </c>
      <c r="JX140" s="168">
        <v>42843922</v>
      </c>
      <c r="JY140" s="21"/>
      <c r="JZ140" s="21"/>
      <c r="KA140" s="21"/>
      <c r="KB140" s="21"/>
      <c r="KC140" s="21"/>
      <c r="KD140" s="21"/>
      <c r="KE140" s="21"/>
      <c r="KF140" s="21"/>
      <c r="KG140" s="21"/>
      <c r="KH140" s="21"/>
      <c r="KI140" s="168">
        <v>53412608</v>
      </c>
      <c r="KJ140" s="168">
        <v>40130436</v>
      </c>
      <c r="KK140" s="21"/>
      <c r="KL140" s="21"/>
      <c r="KM140" s="21"/>
      <c r="KN140" s="21"/>
      <c r="KO140" s="21"/>
      <c r="KP140" s="21"/>
      <c r="KQ140" s="168">
        <v>4290416</v>
      </c>
      <c r="KR140" s="168">
        <v>3386655</v>
      </c>
      <c r="KS140" s="21"/>
      <c r="KT140" s="21"/>
      <c r="KU140" s="168">
        <v>9560537</v>
      </c>
      <c r="KV140" s="168">
        <v>9383592</v>
      </c>
      <c r="KW140" s="21"/>
      <c r="KX140" s="21"/>
      <c r="KY140" s="21"/>
      <c r="KZ140" s="21"/>
      <c r="LA140" s="168">
        <v>1658640</v>
      </c>
      <c r="LB140" s="168">
        <v>1658640</v>
      </c>
      <c r="LC140" s="168">
        <v>104844</v>
      </c>
      <c r="LD140" s="168">
        <v>83494</v>
      </c>
      <c r="LE140" s="168">
        <v>13733</v>
      </c>
      <c r="LF140" s="168">
        <v>13605</v>
      </c>
      <c r="LG140" s="21"/>
      <c r="LH140" s="21"/>
      <c r="LI140" s="168">
        <v>1772850</v>
      </c>
      <c r="LJ140" s="168">
        <v>1224400</v>
      </c>
      <c r="LK140" s="168">
        <v>10953515</v>
      </c>
      <c r="LL140" s="168">
        <v>5258527</v>
      </c>
      <c r="LM140" s="168">
        <v>108144</v>
      </c>
      <c r="LN140" s="168">
        <v>58344</v>
      </c>
      <c r="LO140" s="21"/>
      <c r="LP140" s="21"/>
      <c r="LQ140" s="21"/>
      <c r="LR140" s="21"/>
      <c r="LS140" s="21"/>
      <c r="LT140" s="21"/>
      <c r="LU140" s="21"/>
      <c r="LV140" s="21"/>
      <c r="LW140" s="21"/>
      <c r="LX140" s="21"/>
      <c r="LY140" s="21"/>
      <c r="LZ140" s="21"/>
      <c r="MA140" s="168">
        <v>11961716</v>
      </c>
      <c r="MB140" s="168">
        <v>9604465</v>
      </c>
      <c r="MC140" s="168">
        <v>115836</v>
      </c>
      <c r="MD140" s="168">
        <v>40101</v>
      </c>
      <c r="ME140" s="21"/>
      <c r="MF140" s="21"/>
      <c r="MG140" s="21"/>
      <c r="MH140" s="168">
        <v>185563</v>
      </c>
      <c r="MI140" s="21"/>
      <c r="MJ140" s="21"/>
      <c r="MK140" s="21"/>
      <c r="ML140" s="21"/>
      <c r="MM140" s="21"/>
      <c r="MN140" s="168">
        <v>91228</v>
      </c>
      <c r="MO140" s="168">
        <v>747984</v>
      </c>
      <c r="MP140" s="168">
        <v>480298</v>
      </c>
      <c r="MQ140" s="21"/>
      <c r="MR140" s="21"/>
      <c r="MS140" s="21"/>
      <c r="MT140" s="21"/>
      <c r="MU140" s="21"/>
      <c r="MV140" s="21"/>
      <c r="MW140" s="168">
        <v>165864</v>
      </c>
      <c r="MX140" s="168">
        <v>165864</v>
      </c>
      <c r="MY140" s="21"/>
      <c r="MZ140" s="21"/>
      <c r="NA140" s="21"/>
      <c r="NB140" s="21"/>
      <c r="NC140" s="168">
        <v>1432398</v>
      </c>
      <c r="ND140" s="168">
        <v>314391</v>
      </c>
      <c r="NE140" s="21"/>
      <c r="NF140" s="21"/>
      <c r="NG140" s="168">
        <v>12936016</v>
      </c>
      <c r="NH140" s="168">
        <v>11618586</v>
      </c>
      <c r="NI140" s="21"/>
      <c r="NJ140" s="21"/>
      <c r="NK140" s="168">
        <v>118577</v>
      </c>
      <c r="NL140" s="168">
        <v>96099</v>
      </c>
      <c r="NM140" s="168">
        <v>29202557</v>
      </c>
      <c r="NN140" s="168">
        <v>19663720</v>
      </c>
      <c r="NO140" s="168">
        <v>42886557</v>
      </c>
      <c r="NP140" s="168">
        <v>31948167</v>
      </c>
      <c r="NQ140" s="168" t="s">
        <v>1010</v>
      </c>
      <c r="NR140" s="168" t="s">
        <v>769</v>
      </c>
      <c r="NS140" s="168" t="s">
        <v>770</v>
      </c>
      <c r="NT140" s="168" t="s">
        <v>771</v>
      </c>
      <c r="NU140" s="168">
        <v>1901</v>
      </c>
      <c r="NV140" s="168" t="s">
        <v>2104</v>
      </c>
      <c r="NW140" s="168" t="s">
        <v>28</v>
      </c>
      <c r="NX140" s="168" t="s">
        <v>25</v>
      </c>
      <c r="NY140" s="169">
        <v>42825</v>
      </c>
      <c r="NZ140" s="169">
        <v>42460</v>
      </c>
      <c r="OA140" s="169">
        <v>43084</v>
      </c>
      <c r="OB140" s="168" t="s">
        <v>1011</v>
      </c>
      <c r="OC140" s="168">
        <v>12</v>
      </c>
      <c r="OD140" s="168" t="s">
        <v>2106</v>
      </c>
      <c r="OE140" s="168" t="s">
        <v>2536</v>
      </c>
      <c r="OF140" s="168" t="s">
        <v>2214</v>
      </c>
      <c r="OG140" s="168" t="s">
        <v>1843</v>
      </c>
      <c r="OH140" s="168" t="s">
        <v>1009</v>
      </c>
      <c r="OI140" s="168" t="s">
        <v>766</v>
      </c>
      <c r="OJ140" s="168" t="s">
        <v>3240</v>
      </c>
      <c r="OK140" s="168" t="s">
        <v>767</v>
      </c>
    </row>
    <row r="141" spans="1:401" x14ac:dyDescent="0.2">
      <c r="A141" s="170" t="str">
        <f>Liste[[#This Row],[Siren]]</f>
        <v>322045683</v>
      </c>
      <c r="B141" s="198" t="str">
        <f>Liste[[#This Row],[Dénomination]]&amp;" - comptes "&amp;YEAR(Liste[[#This Row],[Date de cloture de l''exercice]])</f>
        <v>GROUPEMENT EUROPEEN DE FINANCEMENT ET D ETUDES COMMERCIALES - comptes 2017</v>
      </c>
      <c r="C141" s="21"/>
      <c r="D141" s="21"/>
      <c r="E141" s="21"/>
      <c r="F141" s="168">
        <v>1930737</v>
      </c>
      <c r="G141" s="168">
        <v>1861575</v>
      </c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168">
        <v>326628</v>
      </c>
      <c r="BE141" s="168">
        <v>346997</v>
      </c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168">
        <v>1843790</v>
      </c>
      <c r="BY141" s="168">
        <v>930985</v>
      </c>
      <c r="BZ141" s="21"/>
      <c r="CA141" s="21"/>
      <c r="CB141" s="21"/>
      <c r="CC141" s="21"/>
      <c r="CD141" s="21"/>
      <c r="CE141" s="168">
        <v>68195</v>
      </c>
      <c r="CF141" s="168">
        <v>109333</v>
      </c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168">
        <v>4007810</v>
      </c>
      <c r="EM141" s="168">
        <v>4487384</v>
      </c>
      <c r="EN141" s="21"/>
      <c r="EO141" s="21"/>
      <c r="EP141" s="168">
        <v>12177921</v>
      </c>
      <c r="EQ141" s="168">
        <v>11744357</v>
      </c>
      <c r="ER141" s="21"/>
      <c r="ES141" s="21"/>
      <c r="ET141" s="168">
        <v>16982673</v>
      </c>
      <c r="EU141" s="168">
        <v>16948356</v>
      </c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168">
        <v>604128</v>
      </c>
      <c r="FG141" s="168">
        <v>601625</v>
      </c>
      <c r="FH141" s="21"/>
      <c r="FI141" s="168">
        <v>2564</v>
      </c>
      <c r="FJ141" s="168">
        <v>10897</v>
      </c>
      <c r="FK141" s="21"/>
      <c r="FL141" s="21"/>
      <c r="FM141" s="21"/>
      <c r="FN141" s="21"/>
      <c r="FO141" s="21"/>
      <c r="FP141" s="21"/>
      <c r="FQ141" s="21"/>
      <c r="FR141" s="21"/>
      <c r="FS141" s="21"/>
      <c r="FT141" s="21"/>
      <c r="FU141" s="21"/>
      <c r="FV141" s="21"/>
      <c r="FW141" s="21"/>
      <c r="FX141" s="21"/>
      <c r="FY141" s="168">
        <v>209997</v>
      </c>
      <c r="FZ141" s="168">
        <v>156909</v>
      </c>
      <c r="GA141" s="21"/>
      <c r="GB141" s="21"/>
      <c r="GC141" s="21"/>
      <c r="GD141" s="21"/>
      <c r="GE141" s="21"/>
      <c r="GF141" s="21"/>
      <c r="GG141" s="21"/>
      <c r="GH141" s="21"/>
      <c r="GI141" s="21"/>
      <c r="GJ141" s="21"/>
      <c r="GK141" s="21"/>
      <c r="GL141" s="21"/>
      <c r="GM141" s="168">
        <v>-552506</v>
      </c>
      <c r="GN141" s="168">
        <v>-453718</v>
      </c>
      <c r="GO141" s="168">
        <v>-336917</v>
      </c>
      <c r="GP141" s="168">
        <v>-289217</v>
      </c>
      <c r="GQ141" s="21"/>
      <c r="GR141" s="21"/>
      <c r="GS141" s="21"/>
      <c r="GT141" s="21"/>
      <c r="GU141" s="168">
        <v>9861</v>
      </c>
      <c r="GV141" s="168">
        <v>15640</v>
      </c>
      <c r="GW141" s="168">
        <v>12445</v>
      </c>
      <c r="GX141" s="168">
        <v>26537</v>
      </c>
      <c r="GY141" s="21"/>
      <c r="GZ141" s="21"/>
      <c r="HA141" s="21"/>
      <c r="HB141" s="21"/>
      <c r="HC141" s="168">
        <v>6410055</v>
      </c>
      <c r="HD141" s="168">
        <v>6225035</v>
      </c>
      <c r="HE141" s="168">
        <v>553373</v>
      </c>
      <c r="HF141" s="168">
        <v>691179</v>
      </c>
      <c r="HG141" s="21"/>
      <c r="HH141" s="21"/>
      <c r="HI141" s="168">
        <v>27529</v>
      </c>
      <c r="HJ141" s="168">
        <v>23079</v>
      </c>
      <c r="HK141" s="21"/>
      <c r="HL141" s="21"/>
      <c r="HM141" s="21"/>
      <c r="HN141" s="21"/>
      <c r="HO141" s="21"/>
      <c r="HP141" s="21"/>
      <c r="HQ141" s="21"/>
      <c r="HR141" s="21"/>
      <c r="HS141" s="21"/>
      <c r="HT141" s="21"/>
      <c r="HU141" s="168">
        <v>558724</v>
      </c>
      <c r="HV141" s="168">
        <v>697686</v>
      </c>
      <c r="HW141" s="21"/>
      <c r="HX141" s="21"/>
      <c r="HY141" s="168">
        <v>68733</v>
      </c>
      <c r="HZ141" s="168">
        <v>91529</v>
      </c>
      <c r="IA141" s="21"/>
      <c r="IB141" s="21"/>
      <c r="IC141" s="21"/>
      <c r="ID141" s="21"/>
      <c r="IE141" s="168">
        <v>826089</v>
      </c>
      <c r="IF141" s="168">
        <v>800707</v>
      </c>
      <c r="IG141" s="21"/>
      <c r="IH141" s="21"/>
      <c r="II141" s="21"/>
      <c r="IJ141" s="21"/>
      <c r="IK141" s="21"/>
      <c r="IL141" s="21"/>
      <c r="IM141" s="21"/>
      <c r="IN141" s="21"/>
      <c r="IO141" s="21"/>
      <c r="IP141" s="21"/>
      <c r="IQ141" s="21"/>
      <c r="IR141" s="21"/>
      <c r="IS141" s="21"/>
      <c r="IT141" s="21"/>
      <c r="IU141" s="168">
        <v>-187764</v>
      </c>
      <c r="IV141" s="168">
        <v>-242249</v>
      </c>
      <c r="IW141" s="168">
        <v>-533158</v>
      </c>
      <c r="IX141" s="168">
        <v>-533817</v>
      </c>
      <c r="IY141" s="168">
        <v>345394</v>
      </c>
      <c r="IZ141" s="168">
        <v>291568</v>
      </c>
      <c r="JA141" s="168">
        <v>727321</v>
      </c>
      <c r="JB141" s="168">
        <v>667471</v>
      </c>
      <c r="JC141" s="21"/>
      <c r="JD141" s="21"/>
      <c r="JE141" s="168">
        <v>5913235</v>
      </c>
      <c r="JF141" s="168">
        <v>6023253</v>
      </c>
      <c r="JG141" s="168">
        <v>38139</v>
      </c>
      <c r="JH141" s="168">
        <v>12036</v>
      </c>
      <c r="JI141" s="168">
        <v>36244221</v>
      </c>
      <c r="JJ141" s="168">
        <v>35014880</v>
      </c>
      <c r="JK141" s="168">
        <v>125018</v>
      </c>
      <c r="JL141" s="168">
        <v>152398</v>
      </c>
      <c r="JM141" s="168">
        <v>792989</v>
      </c>
      <c r="JN141" s="168">
        <v>702586</v>
      </c>
      <c r="JO141" s="168">
        <v>470412</v>
      </c>
      <c r="JP141" s="168">
        <v>443964</v>
      </c>
      <c r="JQ141" s="21"/>
      <c r="JR141" s="21"/>
      <c r="JS141" s="21"/>
      <c r="JT141" s="21"/>
      <c r="JU141" s="21"/>
      <c r="JV141" s="21"/>
      <c r="JW141" s="168">
        <v>34918074</v>
      </c>
      <c r="JX141" s="168">
        <v>33778477</v>
      </c>
      <c r="JY141" s="21"/>
      <c r="JZ141" s="21"/>
      <c r="KA141" s="21"/>
      <c r="KB141" s="21"/>
      <c r="KC141" s="21"/>
      <c r="KD141" s="21"/>
      <c r="KE141" s="21"/>
      <c r="KF141" s="21"/>
      <c r="KG141" s="21"/>
      <c r="KH141" s="21"/>
      <c r="KI141" s="168">
        <v>34217795</v>
      </c>
      <c r="KJ141" s="168">
        <v>33193027</v>
      </c>
      <c r="KK141" s="21"/>
      <c r="KL141" s="21"/>
      <c r="KM141" s="21"/>
      <c r="KN141" s="21"/>
      <c r="KO141" s="21"/>
      <c r="KP141" s="21"/>
      <c r="KQ141" s="168">
        <v>703136</v>
      </c>
      <c r="KR141" s="168">
        <v>2283229</v>
      </c>
      <c r="KS141" s="21"/>
      <c r="KT141" s="21"/>
      <c r="KU141" s="21"/>
      <c r="KV141" s="21"/>
      <c r="KW141" s="21"/>
      <c r="KX141" s="21"/>
      <c r="KY141" s="21"/>
      <c r="KZ141" s="21"/>
      <c r="LA141" s="168">
        <v>1500000</v>
      </c>
      <c r="LB141" s="168">
        <v>1500000</v>
      </c>
      <c r="LC141" s="21"/>
      <c r="LD141" s="21"/>
      <c r="LE141" s="21"/>
      <c r="LF141" s="21"/>
      <c r="LG141" s="21"/>
      <c r="LH141" s="21"/>
      <c r="LI141" s="168">
        <v>1562981</v>
      </c>
      <c r="LJ141" s="168">
        <v>1490632</v>
      </c>
      <c r="LK141" s="168">
        <v>4324458</v>
      </c>
      <c r="LL141" s="168">
        <v>2456804</v>
      </c>
      <c r="LM141" s="21"/>
      <c r="LN141" s="168">
        <v>163</v>
      </c>
      <c r="LO141" s="21"/>
      <c r="LP141" s="21"/>
      <c r="LQ141" s="21"/>
      <c r="LR141" s="21"/>
      <c r="LS141" s="21"/>
      <c r="LT141" s="21"/>
      <c r="LU141" s="21"/>
      <c r="LV141" s="21"/>
      <c r="LW141" s="21"/>
      <c r="LX141" s="21"/>
      <c r="LY141" s="21"/>
      <c r="LZ141" s="21"/>
      <c r="MA141" s="21"/>
      <c r="MB141" s="21"/>
      <c r="MC141" s="168">
        <v>1640173</v>
      </c>
      <c r="MD141" s="168">
        <v>2903749</v>
      </c>
      <c r="ME141" s="21"/>
      <c r="MF141" s="21"/>
      <c r="MG141" s="21"/>
      <c r="MH141" s="21"/>
      <c r="MI141" s="168">
        <v>14579</v>
      </c>
      <c r="MJ141" s="168">
        <v>14579</v>
      </c>
      <c r="MK141" s="21"/>
      <c r="ML141" s="21"/>
      <c r="MM141" s="21"/>
      <c r="MN141" s="21"/>
      <c r="MO141" s="21"/>
      <c r="MP141" s="21"/>
      <c r="MQ141" s="21"/>
      <c r="MR141" s="21"/>
      <c r="MS141" s="168">
        <v>1</v>
      </c>
      <c r="MT141" s="168">
        <v>1</v>
      </c>
      <c r="MU141" s="21"/>
      <c r="MV141" s="21"/>
      <c r="MW141" s="21"/>
      <c r="MX141" s="21"/>
      <c r="MY141" s="21"/>
      <c r="MZ141" s="21"/>
      <c r="NA141" s="21"/>
      <c r="NB141" s="21"/>
      <c r="NC141" s="168">
        <v>-552506</v>
      </c>
      <c r="ND141" s="168">
        <v>-453718</v>
      </c>
      <c r="NE141" s="21"/>
      <c r="NF141" s="21"/>
      <c r="NG141" s="168">
        <v>4123675</v>
      </c>
      <c r="NH141" s="168">
        <v>4676181</v>
      </c>
      <c r="NI141" s="21"/>
      <c r="NJ141" s="21"/>
      <c r="NK141" s="21"/>
      <c r="NL141" s="21"/>
      <c r="NM141" s="168">
        <v>8230748</v>
      </c>
      <c r="NN141" s="168">
        <v>9134577</v>
      </c>
      <c r="NO141" s="168">
        <v>16982573</v>
      </c>
      <c r="NP141" s="168">
        <v>16948356</v>
      </c>
      <c r="NQ141" s="168" t="s">
        <v>1370</v>
      </c>
      <c r="NR141" s="168" t="s">
        <v>1467</v>
      </c>
      <c r="NS141" s="168" t="s">
        <v>770</v>
      </c>
      <c r="NT141" s="168" t="s">
        <v>771</v>
      </c>
      <c r="NU141" s="168">
        <v>7001</v>
      </c>
      <c r="NV141" s="168" t="s">
        <v>2104</v>
      </c>
      <c r="NW141" s="168" t="s">
        <v>28</v>
      </c>
      <c r="NX141" s="168" t="s">
        <v>25</v>
      </c>
      <c r="NY141" s="169">
        <v>42825</v>
      </c>
      <c r="NZ141" s="169">
        <v>42460</v>
      </c>
      <c r="OA141" s="169">
        <v>43017</v>
      </c>
      <c r="OB141" s="168" t="s">
        <v>1468</v>
      </c>
      <c r="OC141" s="168">
        <v>12</v>
      </c>
      <c r="OD141" s="168" t="s">
        <v>2105</v>
      </c>
      <c r="OE141" s="168" t="s">
        <v>2231</v>
      </c>
      <c r="OF141" s="168" t="s">
        <v>2562</v>
      </c>
      <c r="OG141" s="168" t="s">
        <v>2034</v>
      </c>
      <c r="OH141" s="168" t="s">
        <v>815</v>
      </c>
      <c r="OI141" s="168" t="s">
        <v>766</v>
      </c>
      <c r="OJ141" s="168" t="s">
        <v>3240</v>
      </c>
      <c r="OK141" s="168" t="s">
        <v>1466</v>
      </c>
    </row>
    <row r="142" spans="1:401" x14ac:dyDescent="0.2">
      <c r="A142" s="170" t="str">
        <f>Liste[[#This Row],[Siren]]</f>
        <v>315000943</v>
      </c>
      <c r="B142" s="198" t="str">
        <f>Liste[[#This Row],[Dénomination]]&amp;" - comptes "&amp;YEAR(Liste[[#This Row],[Date de cloture de l''exercice]])</f>
        <v>SOCIETE POUR L'INFORMATIQUE INDUSTRIELLE SII - comptes 2017</v>
      </c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168">
        <v>34964000</v>
      </c>
      <c r="EI142" s="168">
        <v>19527000</v>
      </c>
      <c r="EJ142" s="21"/>
      <c r="EK142" s="21"/>
      <c r="EL142" s="168">
        <v>55134000</v>
      </c>
      <c r="EM142" s="168">
        <v>38650000</v>
      </c>
      <c r="EN142" s="21"/>
      <c r="EO142" s="21"/>
      <c r="EP142" s="168">
        <v>251458000</v>
      </c>
      <c r="EQ142" s="168">
        <v>195421000</v>
      </c>
      <c r="ER142" s="21"/>
      <c r="ES142" s="21"/>
      <c r="ET142" s="168">
        <v>306592000</v>
      </c>
      <c r="EU142" s="168">
        <v>234071000</v>
      </c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  <c r="FQ142" s="21"/>
      <c r="FR142" s="21"/>
      <c r="FS142" s="21"/>
      <c r="FT142" s="21"/>
      <c r="FU142" s="21"/>
      <c r="FV142" s="21"/>
      <c r="FW142" s="21"/>
      <c r="FX142" s="21"/>
      <c r="FY142" s="21"/>
      <c r="FZ142" s="21"/>
      <c r="GA142" s="21"/>
      <c r="GB142" s="21"/>
      <c r="GC142" s="21"/>
      <c r="GD142" s="21"/>
      <c r="GE142" s="21"/>
      <c r="GF142" s="21"/>
      <c r="GG142" s="21"/>
      <c r="GH142" s="21"/>
      <c r="GI142" s="21"/>
      <c r="GJ142" s="21"/>
      <c r="GK142" s="21"/>
      <c r="GL142" s="21"/>
      <c r="GM142" s="168">
        <v>22352000</v>
      </c>
      <c r="GN142" s="168">
        <v>13134000</v>
      </c>
      <c r="GO142" s="21"/>
      <c r="GP142" s="21"/>
      <c r="GQ142" s="21"/>
      <c r="GR142" s="21"/>
      <c r="GS142" s="168">
        <v>22396000</v>
      </c>
      <c r="GT142" s="168">
        <v>13172000</v>
      </c>
      <c r="GU142" s="21"/>
      <c r="GV142" s="21"/>
      <c r="GW142" s="21"/>
      <c r="GX142" s="21"/>
      <c r="GY142" s="21"/>
      <c r="GZ142" s="21"/>
      <c r="HA142" s="21"/>
      <c r="HB142" s="21"/>
      <c r="HC142" s="21"/>
      <c r="HD142" s="21"/>
      <c r="HE142" s="168">
        <v>-592000</v>
      </c>
      <c r="HF142" s="168">
        <v>-580000</v>
      </c>
      <c r="HG142" s="21"/>
      <c r="HH142" s="21"/>
      <c r="HI142" s="168">
        <v>397000</v>
      </c>
      <c r="HJ142" s="168">
        <v>491000</v>
      </c>
      <c r="HK142" s="21"/>
      <c r="HL142" s="21"/>
      <c r="HM142" s="21"/>
      <c r="HN142" s="21"/>
      <c r="HO142" s="21"/>
      <c r="HP142" s="21"/>
      <c r="HQ142" s="21"/>
      <c r="HR142" s="21"/>
      <c r="HS142" s="21"/>
      <c r="HT142" s="21"/>
      <c r="HU142" s="21"/>
      <c r="HV142" s="21"/>
      <c r="HW142" s="21"/>
      <c r="HX142" s="21"/>
      <c r="HY142" s="21"/>
      <c r="HZ142" s="21"/>
      <c r="IA142" s="21"/>
      <c r="IB142" s="21"/>
      <c r="IC142" s="21"/>
      <c r="ID142" s="21"/>
      <c r="IE142" s="168">
        <v>-4161000</v>
      </c>
      <c r="IF142" s="168">
        <v>-4175000</v>
      </c>
      <c r="IG142" s="21"/>
      <c r="IH142" s="21"/>
      <c r="II142" s="21"/>
      <c r="IJ142" s="21"/>
      <c r="IK142" s="21"/>
      <c r="IL142" s="21"/>
      <c r="IM142" s="21"/>
      <c r="IN142" s="21"/>
      <c r="IO142" s="21"/>
      <c r="IP142" s="21"/>
      <c r="IQ142" s="21"/>
      <c r="IR142" s="21"/>
      <c r="IS142" s="21"/>
      <c r="IT142" s="21"/>
      <c r="IU142" s="21"/>
      <c r="IV142" s="21"/>
      <c r="IW142" s="21"/>
      <c r="IX142" s="21"/>
      <c r="IY142" s="21"/>
      <c r="IZ142" s="21"/>
      <c r="JA142" s="21"/>
      <c r="JB142" s="21"/>
      <c r="JC142" s="21"/>
      <c r="JD142" s="21"/>
      <c r="JE142" s="168">
        <v>287134000</v>
      </c>
      <c r="JF142" s="168">
        <v>244609000</v>
      </c>
      <c r="JG142" s="21"/>
      <c r="JH142" s="21"/>
      <c r="JI142" s="21"/>
      <c r="JJ142" s="21"/>
      <c r="JK142" s="21"/>
      <c r="JL142" s="21"/>
      <c r="JM142" s="21"/>
      <c r="JN142" s="21"/>
      <c r="JO142" s="21"/>
      <c r="JP142" s="21"/>
      <c r="JQ142" s="21"/>
      <c r="JR142" s="21"/>
      <c r="JS142" s="21"/>
      <c r="JT142" s="21"/>
      <c r="JU142" s="21"/>
      <c r="JV142" s="21"/>
      <c r="JW142" s="168">
        <v>438847000</v>
      </c>
      <c r="JX142" s="168">
        <v>360106000</v>
      </c>
      <c r="JY142" s="21"/>
      <c r="JZ142" s="21"/>
      <c r="KA142" s="21"/>
      <c r="KB142" s="21"/>
      <c r="KC142" s="21"/>
      <c r="KD142" s="21"/>
      <c r="KE142" s="21"/>
      <c r="KF142" s="21"/>
      <c r="KG142" s="21"/>
      <c r="KH142" s="21"/>
      <c r="KI142" s="21"/>
      <c r="KJ142" s="21"/>
      <c r="KK142" s="21"/>
      <c r="KL142" s="21"/>
      <c r="KM142" s="21"/>
      <c r="KN142" s="21"/>
      <c r="KO142" s="21"/>
      <c r="KP142" s="21"/>
      <c r="KQ142" s="21"/>
      <c r="KR142" s="21"/>
      <c r="KS142" s="21"/>
      <c r="KT142" s="21"/>
      <c r="KU142" s="168">
        <v>47843000</v>
      </c>
      <c r="KV142" s="168">
        <v>52060000</v>
      </c>
      <c r="KW142" s="21"/>
      <c r="KX142" s="21"/>
      <c r="KY142" s="21"/>
      <c r="KZ142" s="21"/>
      <c r="LA142" s="168">
        <v>40000000</v>
      </c>
      <c r="LB142" s="168">
        <v>40000000</v>
      </c>
      <c r="LC142" s="21"/>
      <c r="LD142" s="21"/>
      <c r="LE142" s="21"/>
      <c r="LF142" s="21"/>
      <c r="LG142" s="21"/>
      <c r="LH142" s="21"/>
      <c r="LI142" s="21"/>
      <c r="LJ142" s="21"/>
      <c r="LK142" s="21"/>
      <c r="LL142" s="21"/>
      <c r="LM142" s="21"/>
      <c r="LN142" s="21"/>
      <c r="LO142" s="21"/>
      <c r="LP142" s="21"/>
      <c r="LQ142" s="21"/>
      <c r="LR142" s="21"/>
      <c r="LS142" s="21"/>
      <c r="LT142" s="21"/>
      <c r="LU142" s="21"/>
      <c r="LV142" s="21"/>
      <c r="LW142" s="21"/>
      <c r="LX142" s="21"/>
      <c r="LY142" s="21"/>
      <c r="LZ142" s="21"/>
      <c r="MA142" s="21"/>
      <c r="MB142" s="21"/>
      <c r="MC142" s="21"/>
      <c r="MD142" s="21"/>
      <c r="ME142" s="21"/>
      <c r="MF142" s="21"/>
      <c r="MG142" s="21"/>
      <c r="MH142" s="21"/>
      <c r="MI142" s="21"/>
      <c r="MJ142" s="21"/>
      <c r="MK142" s="21"/>
      <c r="ML142" s="21"/>
      <c r="MM142" s="21"/>
      <c r="MN142" s="21"/>
      <c r="MO142" s="21"/>
      <c r="MP142" s="21"/>
      <c r="MQ142" s="21"/>
      <c r="MR142" s="21"/>
      <c r="MS142" s="21"/>
      <c r="MT142" s="21"/>
      <c r="MU142" s="21"/>
      <c r="MV142" s="21"/>
      <c r="MW142" s="21"/>
      <c r="MX142" s="21"/>
      <c r="MY142" s="21"/>
      <c r="MZ142" s="21"/>
      <c r="NA142" s="21"/>
      <c r="NB142" s="21"/>
      <c r="NC142" s="168">
        <v>22396000</v>
      </c>
      <c r="ND142" s="168">
        <v>13172000</v>
      </c>
      <c r="NE142" s="21"/>
      <c r="NF142" s="21"/>
      <c r="NG142" s="168">
        <v>108308000</v>
      </c>
      <c r="NH142" s="168">
        <v>102854000</v>
      </c>
      <c r="NI142" s="21"/>
      <c r="NJ142" s="21"/>
      <c r="NK142" s="21"/>
      <c r="NL142" s="21"/>
      <c r="NM142" s="168">
        <v>163702000</v>
      </c>
      <c r="NN142" s="168">
        <v>111552000</v>
      </c>
      <c r="NO142" s="168">
        <v>306592000</v>
      </c>
      <c r="NP142" s="168">
        <v>234071000</v>
      </c>
      <c r="NQ142" s="168" t="s">
        <v>768</v>
      </c>
      <c r="NR142" s="168" t="s">
        <v>872</v>
      </c>
      <c r="NS142" s="168" t="s">
        <v>770</v>
      </c>
      <c r="NT142" s="168" t="s">
        <v>771</v>
      </c>
      <c r="NU142" s="168">
        <v>7501</v>
      </c>
      <c r="NV142" s="168" t="s">
        <v>2104</v>
      </c>
      <c r="NW142" s="168" t="s">
        <v>28</v>
      </c>
      <c r="NX142" s="168" t="s">
        <v>25</v>
      </c>
      <c r="NY142" s="169">
        <v>42825</v>
      </c>
      <c r="NZ142" s="169">
        <v>42460</v>
      </c>
      <c r="OA142" s="169">
        <v>43020</v>
      </c>
      <c r="OB142" s="168" t="s">
        <v>1469</v>
      </c>
      <c r="OC142" s="168">
        <v>12</v>
      </c>
      <c r="OD142" s="168" t="s">
        <v>2106</v>
      </c>
      <c r="OE142" s="168" t="s">
        <v>2563</v>
      </c>
      <c r="OF142" s="168" t="s">
        <v>2564</v>
      </c>
      <c r="OG142" s="168" t="s">
        <v>2035</v>
      </c>
      <c r="OH142" s="168" t="s">
        <v>765</v>
      </c>
      <c r="OI142" s="168" t="s">
        <v>766</v>
      </c>
      <c r="OJ142" s="168" t="s">
        <v>3240</v>
      </c>
      <c r="OK142" s="168" t="s">
        <v>871</v>
      </c>
    </row>
    <row r="143" spans="1:401" x14ac:dyDescent="0.2">
      <c r="A143" s="170" t="str">
        <f>Liste[[#This Row],[Siren]]</f>
        <v>399512532</v>
      </c>
      <c r="B143" s="198" t="str">
        <f>Liste[[#This Row],[Dénomination]]&amp;" - comptes "&amp;YEAR(Liste[[#This Row],[Date de cloture de l''exercice]])</f>
        <v>BERTJADI - comptes 2017</v>
      </c>
      <c r="C143" s="21"/>
      <c r="D143" s="21"/>
      <c r="E143" s="21"/>
      <c r="F143" s="168">
        <v>5496909</v>
      </c>
      <c r="G143" s="168">
        <v>7490635</v>
      </c>
      <c r="H143" s="168">
        <v>5496909</v>
      </c>
      <c r="I143" s="168">
        <v>12484682</v>
      </c>
      <c r="J143" s="168">
        <v>7214696</v>
      </c>
      <c r="K143" s="168">
        <v>5847570</v>
      </c>
      <c r="L143" s="168">
        <v>19699378</v>
      </c>
      <c r="M143" s="21"/>
      <c r="N143" s="168">
        <v>408165</v>
      </c>
      <c r="O143" s="168">
        <v>443005</v>
      </c>
      <c r="P143" s="168">
        <v>408165</v>
      </c>
      <c r="Q143" s="168">
        <v>6975</v>
      </c>
      <c r="R143" s="168">
        <v>50860</v>
      </c>
      <c r="S143" s="168">
        <v>50860</v>
      </c>
      <c r="T143" s="168">
        <v>57835</v>
      </c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168">
        <v>1777</v>
      </c>
      <c r="AF143" s="21"/>
      <c r="AG143" s="21"/>
      <c r="AH143" s="21"/>
      <c r="AI143" s="21"/>
      <c r="AJ143" s="21"/>
      <c r="AK143" s="21"/>
      <c r="AL143" s="168">
        <v>89047</v>
      </c>
      <c r="AM143" s="168">
        <v>95038</v>
      </c>
      <c r="AN143" s="168">
        <v>89047</v>
      </c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168">
        <v>268097</v>
      </c>
      <c r="BA143" s="168">
        <v>298780</v>
      </c>
      <c r="BB143" s="168">
        <v>268097</v>
      </c>
      <c r="BC143" s="168">
        <v>970244</v>
      </c>
      <c r="BD143" s="168">
        <v>5836494</v>
      </c>
      <c r="BE143" s="168">
        <v>1691204</v>
      </c>
      <c r="BF143" s="168">
        <v>6806738</v>
      </c>
      <c r="BG143" s="168">
        <v>35837</v>
      </c>
      <c r="BH143" s="168">
        <v>87802</v>
      </c>
      <c r="BI143" s="168">
        <v>105182</v>
      </c>
      <c r="BJ143" s="168">
        <v>123639</v>
      </c>
      <c r="BK143" s="168">
        <v>31112228</v>
      </c>
      <c r="BL143" s="168">
        <v>30694832</v>
      </c>
      <c r="BM143" s="168">
        <v>28782865</v>
      </c>
      <c r="BN143" s="168">
        <v>61807060</v>
      </c>
      <c r="BO143" s="21"/>
      <c r="BP143" s="21"/>
      <c r="BQ143" s="21"/>
      <c r="BR143" s="21"/>
      <c r="BS143" s="21"/>
      <c r="BT143" s="21"/>
      <c r="BU143" s="21"/>
      <c r="BV143" s="21"/>
      <c r="BW143" s="21"/>
      <c r="BX143" s="168">
        <v>3437453</v>
      </c>
      <c r="BY143" s="168">
        <v>1852547</v>
      </c>
      <c r="BZ143" s="168">
        <v>3437453</v>
      </c>
      <c r="CA143" s="21"/>
      <c r="CB143" s="21"/>
      <c r="CC143" s="21"/>
      <c r="CD143" s="168">
        <v>4855805</v>
      </c>
      <c r="CE143" s="168">
        <v>764664</v>
      </c>
      <c r="CF143" s="168">
        <v>764661</v>
      </c>
      <c r="CG143" s="168">
        <v>5620469</v>
      </c>
      <c r="CH143" s="21"/>
      <c r="CI143" s="168">
        <v>5254906</v>
      </c>
      <c r="CJ143" s="168">
        <v>5254907</v>
      </c>
      <c r="CK143" s="168">
        <v>5254906</v>
      </c>
      <c r="CL143" s="21"/>
      <c r="CM143" s="21"/>
      <c r="CN143" s="21"/>
      <c r="CO143" s="21"/>
      <c r="CP143" s="21"/>
      <c r="CQ143" s="168">
        <v>25679645</v>
      </c>
      <c r="CR143" s="168">
        <v>25617445</v>
      </c>
      <c r="CS143" s="168">
        <v>25679645</v>
      </c>
      <c r="CT143" s="21"/>
      <c r="CU143" s="21"/>
      <c r="CV143" s="21"/>
      <c r="CW143" s="21"/>
      <c r="CX143" s="168">
        <v>18844</v>
      </c>
      <c r="CY143" s="168">
        <v>6080</v>
      </c>
      <c r="CZ143" s="168">
        <v>6949</v>
      </c>
      <c r="DA143" s="168">
        <v>24924</v>
      </c>
      <c r="DB143" s="21"/>
      <c r="DC143" s="168">
        <v>14145463</v>
      </c>
      <c r="DD143" s="168">
        <v>6987415</v>
      </c>
      <c r="DE143" s="168">
        <v>14145463</v>
      </c>
      <c r="DF143" s="168">
        <v>4350789</v>
      </c>
      <c r="DG143" s="168">
        <v>1620966</v>
      </c>
      <c r="DH143" s="168">
        <v>1094540</v>
      </c>
      <c r="DI143" s="168">
        <v>5971755</v>
      </c>
      <c r="DJ143" s="168">
        <v>8000</v>
      </c>
      <c r="DK143" s="168">
        <v>5158211</v>
      </c>
      <c r="DL143" s="168">
        <v>5026974</v>
      </c>
      <c r="DM143" s="168">
        <v>5166211</v>
      </c>
      <c r="DN143" s="21"/>
      <c r="DO143" s="168">
        <v>52540</v>
      </c>
      <c r="DP143" s="168">
        <v>44982</v>
      </c>
      <c r="DQ143" s="168">
        <v>52540</v>
      </c>
      <c r="DR143" s="21"/>
      <c r="DS143" s="168">
        <v>991206</v>
      </c>
      <c r="DT143" s="168">
        <v>992209</v>
      </c>
      <c r="DU143" s="168">
        <v>991206</v>
      </c>
      <c r="DV143" s="168">
        <v>3604</v>
      </c>
      <c r="DW143" s="21"/>
      <c r="DX143" s="21"/>
      <c r="DY143" s="168">
        <v>3604</v>
      </c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168">
        <v>48746484</v>
      </c>
      <c r="EL143" s="168">
        <v>92775691</v>
      </c>
      <c r="EM143" s="168">
        <v>81842194</v>
      </c>
      <c r="EN143" s="168">
        <v>141522175</v>
      </c>
      <c r="EO143" s="168">
        <v>978244</v>
      </c>
      <c r="EP143" s="168">
        <v>25642256</v>
      </c>
      <c r="EQ143" s="168">
        <v>22611949</v>
      </c>
      <c r="ER143" s="168">
        <v>26620500</v>
      </c>
      <c r="ES143" s="168">
        <v>54580533</v>
      </c>
      <c r="ET143" s="168">
        <v>119182611</v>
      </c>
      <c r="EU143" s="168">
        <v>105218804</v>
      </c>
      <c r="EV143" s="168">
        <v>173763144</v>
      </c>
      <c r="EW143" s="168">
        <v>733525</v>
      </c>
      <c r="EX143" s="168">
        <v>11875976</v>
      </c>
      <c r="EY143" s="168">
        <v>11912377</v>
      </c>
      <c r="EZ143" s="168">
        <v>12609501</v>
      </c>
      <c r="FA143" s="21"/>
      <c r="FB143" s="21"/>
      <c r="FC143" s="21"/>
      <c r="FD143" s="21"/>
      <c r="FE143" s="21"/>
      <c r="FF143" s="21"/>
      <c r="FG143" s="168">
        <v>60000</v>
      </c>
      <c r="FH143" s="21"/>
      <c r="FI143" s="168">
        <v>484386</v>
      </c>
      <c r="FJ143" s="168">
        <v>-3529458</v>
      </c>
      <c r="FK143" s="21"/>
      <c r="FL143" s="21"/>
      <c r="FM143" s="168">
        <v>16624</v>
      </c>
      <c r="FN143" s="168">
        <v>3989763</v>
      </c>
      <c r="FO143" s="168">
        <v>34882</v>
      </c>
      <c r="FP143" s="168">
        <v>15450</v>
      </c>
      <c r="FQ143" s="168">
        <v>-120446</v>
      </c>
      <c r="FR143" s="168">
        <v>764664</v>
      </c>
      <c r="FS143" s="168">
        <v>1075199</v>
      </c>
      <c r="FT143" s="168">
        <v>45724</v>
      </c>
      <c r="FU143" s="168">
        <v>372515</v>
      </c>
      <c r="FV143" s="168">
        <v>-782435</v>
      </c>
      <c r="FW143" s="168">
        <v>2208481</v>
      </c>
      <c r="FX143" s="168">
        <v>1224099</v>
      </c>
      <c r="FY143" s="168">
        <v>-12074</v>
      </c>
      <c r="FZ143" s="168">
        <v>8826</v>
      </c>
      <c r="GA143" s="21"/>
      <c r="GB143" s="21"/>
      <c r="GC143" s="168">
        <v>157230</v>
      </c>
      <c r="GD143" s="168">
        <v>459479</v>
      </c>
      <c r="GE143" s="168">
        <v>1453861</v>
      </c>
      <c r="GF143" s="168">
        <v>35796</v>
      </c>
      <c r="GG143" s="21"/>
      <c r="GH143" s="21"/>
      <c r="GI143" s="21"/>
      <c r="GJ143" s="21"/>
      <c r="GK143" s="21"/>
      <c r="GL143" s="168">
        <v>26204</v>
      </c>
      <c r="GM143" s="168">
        <v>3965768</v>
      </c>
      <c r="GN143" s="168">
        <v>245147</v>
      </c>
      <c r="GO143" s="168">
        <v>3845322</v>
      </c>
      <c r="GP143" s="168">
        <v>1009819</v>
      </c>
      <c r="GQ143" s="21"/>
      <c r="GR143" s="21"/>
      <c r="GS143" s="168">
        <v>3977842</v>
      </c>
      <c r="GT143" s="168">
        <v>236321</v>
      </c>
      <c r="GU143" s="168">
        <v>1126705</v>
      </c>
      <c r="GV143" s="168">
        <v>4050937</v>
      </c>
      <c r="GW143" s="168">
        <v>1611091</v>
      </c>
      <c r="GX143" s="168">
        <v>521479</v>
      </c>
      <c r="GY143" s="168">
        <v>60107128</v>
      </c>
      <c r="GZ143" s="168">
        <v>61036547</v>
      </c>
      <c r="HA143" s="168">
        <v>474783</v>
      </c>
      <c r="HB143" s="168">
        <v>407625</v>
      </c>
      <c r="HC143" s="168">
        <v>8404796</v>
      </c>
      <c r="HD143" s="168">
        <v>8479827</v>
      </c>
      <c r="HE143" s="168">
        <v>614483</v>
      </c>
      <c r="HF143" s="168">
        <v>549577</v>
      </c>
      <c r="HG143" s="168">
        <v>4117</v>
      </c>
      <c r="HH143" s="168">
        <v>33596</v>
      </c>
      <c r="HI143" s="168">
        <v>133954</v>
      </c>
      <c r="HJ143" s="168">
        <v>130830</v>
      </c>
      <c r="HK143" s="21"/>
      <c r="HL143" s="21"/>
      <c r="HM143" s="21"/>
      <c r="HN143" s="21"/>
      <c r="HO143" s="168">
        <v>1879004</v>
      </c>
      <c r="HP143" s="168">
        <v>1917423</v>
      </c>
      <c r="HQ143" s="21"/>
      <c r="HR143" s="21"/>
      <c r="HS143" s="21"/>
      <c r="HT143" s="21"/>
      <c r="HU143" s="168">
        <v>4213687</v>
      </c>
      <c r="HV143" s="168">
        <v>3786521</v>
      </c>
      <c r="HW143" s="21"/>
      <c r="HX143" s="21"/>
      <c r="HY143" s="168">
        <v>37572</v>
      </c>
      <c r="HZ143" s="168">
        <v>44913</v>
      </c>
      <c r="IA143" s="168">
        <v>15842</v>
      </c>
      <c r="IB143" s="168">
        <v>869912</v>
      </c>
      <c r="IC143" s="21"/>
      <c r="ID143" s="168">
        <v>170084</v>
      </c>
      <c r="IE143" s="168">
        <v>1975178</v>
      </c>
      <c r="IF143" s="168">
        <v>2646748</v>
      </c>
      <c r="IG143" s="168">
        <v>1072636</v>
      </c>
      <c r="IH143" s="168">
        <v>830819</v>
      </c>
      <c r="II143" s="21"/>
      <c r="IJ143" s="21"/>
      <c r="IK143" s="168">
        <v>11126</v>
      </c>
      <c r="IL143" s="168">
        <v>2943</v>
      </c>
      <c r="IM143" s="21"/>
      <c r="IN143" s="168">
        <v>-6694613</v>
      </c>
      <c r="IO143" s="21"/>
      <c r="IP143" s="21"/>
      <c r="IQ143" s="21"/>
      <c r="IR143" s="21"/>
      <c r="IS143" s="21"/>
      <c r="IT143" s="168">
        <v>29439</v>
      </c>
      <c r="IU143" s="168">
        <v>5941932</v>
      </c>
      <c r="IV143" s="168">
        <v>4980941</v>
      </c>
      <c r="IW143" s="168">
        <v>7000430</v>
      </c>
      <c r="IX143" s="168">
        <v>5918809</v>
      </c>
      <c r="IY143" s="168">
        <v>-1058506</v>
      </c>
      <c r="IZ143" s="168">
        <v>-937868</v>
      </c>
      <c r="JA143" s="168">
        <v>249411</v>
      </c>
      <c r="JB143" s="168">
        <v>957790</v>
      </c>
      <c r="JC143" s="168">
        <v>10000</v>
      </c>
      <c r="JD143" s="21"/>
      <c r="JE143" s="168">
        <v>7705875</v>
      </c>
      <c r="JF143" s="168">
        <v>7048576</v>
      </c>
      <c r="JG143" s="168">
        <v>4290683</v>
      </c>
      <c r="JH143" s="168">
        <v>2256</v>
      </c>
      <c r="JI143" s="168">
        <v>85364255</v>
      </c>
      <c r="JJ143" s="168">
        <v>87189366</v>
      </c>
      <c r="JK143" s="168">
        <v>1072643</v>
      </c>
      <c r="JL143" s="168">
        <v>1000903</v>
      </c>
      <c r="JM143" s="168">
        <v>92364685</v>
      </c>
      <c r="JN143" s="168">
        <v>93108175</v>
      </c>
      <c r="JO143" s="168">
        <v>14137</v>
      </c>
      <c r="JP143" s="168">
        <v>63035</v>
      </c>
      <c r="JQ143" s="168">
        <v>-55672</v>
      </c>
      <c r="JR143" s="168">
        <v>401049</v>
      </c>
      <c r="JS143" s="168">
        <v>-8421</v>
      </c>
      <c r="JT143" s="168">
        <v>648</v>
      </c>
      <c r="JU143" s="21"/>
      <c r="JV143" s="21"/>
      <c r="JW143" s="168">
        <v>87679511</v>
      </c>
      <c r="JX143" s="168">
        <v>98708969</v>
      </c>
      <c r="JY143" s="21"/>
      <c r="JZ143" s="21"/>
      <c r="KA143" s="168">
        <v>11153801</v>
      </c>
      <c r="KB143" s="168">
        <v>20008493</v>
      </c>
      <c r="KC143" s="21"/>
      <c r="KD143" s="21"/>
      <c r="KE143" s="168">
        <v>11168095</v>
      </c>
      <c r="KF143" s="168">
        <v>10017976</v>
      </c>
      <c r="KG143" s="21"/>
      <c r="KH143" s="21"/>
      <c r="KI143" s="168">
        <v>65357615</v>
      </c>
      <c r="KJ143" s="168">
        <v>68682500</v>
      </c>
      <c r="KK143" s="21"/>
      <c r="KL143" s="21"/>
      <c r="KM143" s="21"/>
      <c r="KN143" s="21"/>
      <c r="KO143" s="21"/>
      <c r="KP143" s="21"/>
      <c r="KQ143" s="168">
        <v>541517</v>
      </c>
      <c r="KR143" s="168">
        <v>926639</v>
      </c>
      <c r="KS143" s="21"/>
      <c r="KT143" s="21"/>
      <c r="KU143" s="168">
        <v>5075192</v>
      </c>
      <c r="KV143" s="168">
        <v>3077677</v>
      </c>
      <c r="KW143" s="21"/>
      <c r="KX143" s="21"/>
      <c r="KY143" s="168">
        <v>10247</v>
      </c>
      <c r="KZ143" s="168">
        <v>713</v>
      </c>
      <c r="LA143" s="168">
        <v>25000000</v>
      </c>
      <c r="LB143" s="168">
        <v>25000000</v>
      </c>
      <c r="LC143" s="21"/>
      <c r="LD143" s="21"/>
      <c r="LE143" s="168">
        <v>-12074</v>
      </c>
      <c r="LF143" s="168">
        <v>8826</v>
      </c>
      <c r="LG143" s="21"/>
      <c r="LH143" s="21"/>
      <c r="LI143" s="168">
        <v>5013227</v>
      </c>
      <c r="LJ143" s="168">
        <v>4061052</v>
      </c>
      <c r="LK143" s="168">
        <v>16199148</v>
      </c>
      <c r="LL143" s="168">
        <v>13736327</v>
      </c>
      <c r="LM143" s="168">
        <v>909423</v>
      </c>
      <c r="LN143" s="168">
        <v>5065</v>
      </c>
      <c r="LO143" s="21"/>
      <c r="LP143" s="21"/>
      <c r="LQ143" s="21"/>
      <c r="LR143" s="21"/>
      <c r="LS143" s="21"/>
      <c r="LT143" s="21"/>
      <c r="LU143" s="21"/>
      <c r="LV143" s="21"/>
      <c r="LW143" s="21"/>
      <c r="LX143" s="21"/>
      <c r="LY143" s="21"/>
      <c r="LZ143" s="21"/>
      <c r="MA143" s="168">
        <v>44175887</v>
      </c>
      <c r="MB143" s="168">
        <v>31065816</v>
      </c>
      <c r="MC143" s="168">
        <v>2888551</v>
      </c>
      <c r="MD143" s="168">
        <v>5651819</v>
      </c>
      <c r="ME143" s="21"/>
      <c r="MF143" s="21"/>
      <c r="MG143" s="168">
        <v>4254876</v>
      </c>
      <c r="MH143" s="168">
        <v>4630340</v>
      </c>
      <c r="MI143" s="21"/>
      <c r="MJ143" s="21"/>
      <c r="MK143" s="21"/>
      <c r="ML143" s="21"/>
      <c r="MM143" s="168">
        <v>587466</v>
      </c>
      <c r="MN143" s="168">
        <v>697588</v>
      </c>
      <c r="MO143" s="168">
        <v>466205</v>
      </c>
      <c r="MP143" s="168">
        <v>483733</v>
      </c>
      <c r="MQ143" s="168">
        <v>24000</v>
      </c>
      <c r="MR143" s="168">
        <v>50001</v>
      </c>
      <c r="MS143" s="21"/>
      <c r="MT143" s="21"/>
      <c r="MU143" s="21"/>
      <c r="MV143" s="21"/>
      <c r="MW143" s="168">
        <v>9099686</v>
      </c>
      <c r="MX143" s="168">
        <v>11787069</v>
      </c>
      <c r="MY143" s="21"/>
      <c r="MZ143" s="21"/>
      <c r="NA143" s="21"/>
      <c r="NB143" s="21"/>
      <c r="NC143" s="168">
        <v>3977842</v>
      </c>
      <c r="ND143" s="168">
        <v>236321</v>
      </c>
      <c r="NE143" s="21"/>
      <c r="NF143" s="21"/>
      <c r="NG143" s="168">
        <v>43152720</v>
      </c>
      <c r="NH143" s="168">
        <v>40101067</v>
      </c>
      <c r="NI143" s="21"/>
      <c r="NJ143" s="21"/>
      <c r="NK143" s="168">
        <v>959343</v>
      </c>
      <c r="NL143" s="168">
        <v>3808644</v>
      </c>
      <c r="NM143" s="168">
        <v>70325466</v>
      </c>
      <c r="NN143" s="168">
        <v>56145019</v>
      </c>
      <c r="NO143" s="168">
        <v>119182611</v>
      </c>
      <c r="NP143" s="168">
        <v>105218804</v>
      </c>
      <c r="NQ143" s="168" t="s">
        <v>1352</v>
      </c>
      <c r="NR143" s="168" t="s">
        <v>769</v>
      </c>
      <c r="NS143" s="168" t="s">
        <v>770</v>
      </c>
      <c r="NT143" s="168" t="s">
        <v>771</v>
      </c>
      <c r="NU143" s="168">
        <v>1407</v>
      </c>
      <c r="NV143" s="168" t="s">
        <v>2104</v>
      </c>
      <c r="NW143" s="168" t="s">
        <v>28</v>
      </c>
      <c r="NX143" s="168" t="s">
        <v>25</v>
      </c>
      <c r="NY143" s="169">
        <v>42825</v>
      </c>
      <c r="NZ143" s="169">
        <v>42460</v>
      </c>
      <c r="OA143" s="169">
        <v>43047</v>
      </c>
      <c r="OB143" s="168" t="s">
        <v>1458</v>
      </c>
      <c r="OC143" s="168">
        <v>12</v>
      </c>
      <c r="OD143" s="168" t="s">
        <v>2105</v>
      </c>
      <c r="OE143" s="168" t="s">
        <v>2556</v>
      </c>
      <c r="OF143" s="168" t="s">
        <v>2557</v>
      </c>
      <c r="OG143" s="168" t="s">
        <v>2029</v>
      </c>
      <c r="OH143" s="168" t="s">
        <v>1229</v>
      </c>
      <c r="OI143" s="168" t="s">
        <v>766</v>
      </c>
      <c r="OJ143" s="168" t="s">
        <v>3240</v>
      </c>
      <c r="OK143" s="168" t="s">
        <v>767</v>
      </c>
    </row>
    <row r="144" spans="1:401" x14ac:dyDescent="0.2">
      <c r="A144" s="170" t="str">
        <f>Liste[[#This Row],[Siren]]</f>
        <v>434644019</v>
      </c>
      <c r="B144" s="198" t="str">
        <f>Liste[[#This Row],[Dénomination]]&amp;" - comptes "&amp;YEAR(Liste[[#This Row],[Date de cloture de l''exercice]])</f>
        <v>STGA SOCIETE DE GESTION ET D ADMINISTRATION - comptes 2017</v>
      </c>
      <c r="C144" s="21"/>
      <c r="D144" s="21"/>
      <c r="E144" s="21"/>
      <c r="F144" s="168">
        <v>2563327</v>
      </c>
      <c r="G144" s="168">
        <v>1137178</v>
      </c>
      <c r="H144" s="21"/>
      <c r="I144" s="21"/>
      <c r="J144" s="168">
        <v>716498</v>
      </c>
      <c r="K144" s="168">
        <v>552085</v>
      </c>
      <c r="L144" s="21"/>
      <c r="M144" s="21"/>
      <c r="N144" s="168">
        <v>146495</v>
      </c>
      <c r="O144" s="168">
        <v>176495</v>
      </c>
      <c r="P144" s="21"/>
      <c r="Q144" s="21"/>
      <c r="R144" s="168">
        <v>2539</v>
      </c>
      <c r="S144" s="168">
        <v>4234</v>
      </c>
      <c r="T144" s="21"/>
      <c r="U144" s="21"/>
      <c r="V144" s="21"/>
      <c r="W144" s="21"/>
      <c r="X144" s="21"/>
      <c r="Y144" s="21"/>
      <c r="Z144" s="168">
        <v>38000</v>
      </c>
      <c r="AA144" s="168">
        <v>8000</v>
      </c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168">
        <v>48859</v>
      </c>
      <c r="AM144" s="168">
        <v>42524</v>
      </c>
      <c r="AN144" s="21"/>
      <c r="AO144" s="21"/>
      <c r="AP144" s="21"/>
      <c r="AQ144" s="21"/>
      <c r="AR144" s="21"/>
      <c r="AS144" s="168">
        <v>1000</v>
      </c>
      <c r="AT144" s="168">
        <v>3000</v>
      </c>
      <c r="AU144" s="21"/>
      <c r="AV144" s="21"/>
      <c r="AW144" s="21"/>
      <c r="AX144" s="21"/>
      <c r="AY144" s="21"/>
      <c r="AZ144" s="168">
        <v>259168</v>
      </c>
      <c r="BA144" s="168">
        <v>338760</v>
      </c>
      <c r="BB144" s="21"/>
      <c r="BC144" s="21"/>
      <c r="BD144" s="168">
        <v>16403872</v>
      </c>
      <c r="BE144" s="168">
        <v>7772135</v>
      </c>
      <c r="BF144" s="21"/>
      <c r="BG144" s="21"/>
      <c r="BH144" s="21"/>
      <c r="BI144" s="168">
        <v>1631</v>
      </c>
      <c r="BJ144" s="21"/>
      <c r="BK144" s="21"/>
      <c r="BL144" s="168">
        <v>531489</v>
      </c>
      <c r="BM144" s="168">
        <v>549094</v>
      </c>
      <c r="BN144" s="21"/>
      <c r="BO144" s="21"/>
      <c r="BP144" s="168">
        <v>2679433</v>
      </c>
      <c r="BQ144" s="168">
        <v>1898605</v>
      </c>
      <c r="BR144" s="21"/>
      <c r="BS144" s="21"/>
      <c r="BT144" s="21"/>
      <c r="BU144" s="21"/>
      <c r="BV144" s="21"/>
      <c r="BW144" s="21"/>
      <c r="BX144" s="168">
        <v>5822301</v>
      </c>
      <c r="BY144" s="168">
        <v>2823487</v>
      </c>
      <c r="BZ144" s="21"/>
      <c r="CA144" s="21"/>
      <c r="CB144" s="168">
        <v>6</v>
      </c>
      <c r="CC144" s="21"/>
      <c r="CD144" s="21"/>
      <c r="CE144" s="21"/>
      <c r="CF144" s="21"/>
      <c r="CG144" s="21"/>
      <c r="CH144" s="21"/>
      <c r="CI144" s="168">
        <v>6127847</v>
      </c>
      <c r="CJ144" s="168">
        <v>2334109</v>
      </c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168">
        <v>4393161</v>
      </c>
      <c r="DH144" s="168">
        <v>3094064</v>
      </c>
      <c r="DI144" s="21"/>
      <c r="DJ144" s="21"/>
      <c r="DK144" s="21"/>
      <c r="DL144" s="21"/>
      <c r="DM144" s="21"/>
      <c r="DN144" s="21"/>
      <c r="DO144" s="168">
        <v>217047</v>
      </c>
      <c r="DP144" s="168">
        <v>223683</v>
      </c>
      <c r="DQ144" s="21"/>
      <c r="DR144" s="21"/>
      <c r="DS144" s="168">
        <v>472711</v>
      </c>
      <c r="DT144" s="168">
        <v>509882</v>
      </c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168">
        <v>8981306</v>
      </c>
      <c r="EM144" s="168">
        <v>6794090</v>
      </c>
      <c r="EN144" s="21"/>
      <c r="EO144" s="21"/>
      <c r="EP144" s="168">
        <v>31481832</v>
      </c>
      <c r="EQ144" s="168">
        <v>15483035</v>
      </c>
      <c r="ER144" s="21"/>
      <c r="ES144" s="21"/>
      <c r="ET144" s="168">
        <v>40464138</v>
      </c>
      <c r="EU144" s="168">
        <v>22280131</v>
      </c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168">
        <v>39409</v>
      </c>
      <c r="FG144" s="168">
        <v>811159</v>
      </c>
      <c r="FH144" s="21"/>
      <c r="FI144" s="168">
        <v>131343</v>
      </c>
      <c r="FJ144" s="168">
        <v>-56538</v>
      </c>
      <c r="FK144" s="21"/>
      <c r="FL144" s="21"/>
      <c r="FM144" s="168">
        <v>24241</v>
      </c>
      <c r="FN144" s="168">
        <v>81973</v>
      </c>
      <c r="FO144" s="21"/>
      <c r="FP144" s="168">
        <v>73174</v>
      </c>
      <c r="FQ144" s="168">
        <v>-29680</v>
      </c>
      <c r="FR144" s="168">
        <v>-29680</v>
      </c>
      <c r="FS144" s="168">
        <v>117500</v>
      </c>
      <c r="FT144" s="168">
        <v>117500</v>
      </c>
      <c r="FU144" s="168">
        <v>-176438</v>
      </c>
      <c r="FV144" s="168">
        <v>-17566</v>
      </c>
      <c r="FW144" s="168">
        <v>1271455</v>
      </c>
      <c r="FX144" s="168">
        <v>179737</v>
      </c>
      <c r="FY144" s="168">
        <v>61114</v>
      </c>
      <c r="FZ144" s="168">
        <v>6391</v>
      </c>
      <c r="GA144" s="21"/>
      <c r="GB144" s="21"/>
      <c r="GC144" s="21"/>
      <c r="GD144" s="21"/>
      <c r="GE144" s="168">
        <v>155584</v>
      </c>
      <c r="GF144" s="168">
        <v>98609</v>
      </c>
      <c r="GG144" s="21"/>
      <c r="GH144" s="21"/>
      <c r="GI144" s="21"/>
      <c r="GJ144" s="21"/>
      <c r="GK144" s="168">
        <v>117500</v>
      </c>
      <c r="GL144" s="168">
        <v>117500</v>
      </c>
      <c r="GM144" s="168">
        <v>3209129</v>
      </c>
      <c r="GN144" s="168">
        <v>1170372</v>
      </c>
      <c r="GO144" s="168">
        <v>3316620</v>
      </c>
      <c r="GP144" s="168">
        <v>946658</v>
      </c>
      <c r="GQ144" s="168">
        <v>-137171</v>
      </c>
      <c r="GR144" s="168">
        <v>194034</v>
      </c>
      <c r="GS144" s="168">
        <v>3148015</v>
      </c>
      <c r="GT144" s="168">
        <v>1163981</v>
      </c>
      <c r="GU144" s="168">
        <v>141741</v>
      </c>
      <c r="GV144" s="168">
        <v>272647</v>
      </c>
      <c r="GW144" s="168">
        <v>273084</v>
      </c>
      <c r="GX144" s="168">
        <v>216109</v>
      </c>
      <c r="GY144" s="168">
        <v>823862</v>
      </c>
      <c r="GZ144" s="168">
        <v>1041281</v>
      </c>
      <c r="HA144" s="168">
        <v>12190563</v>
      </c>
      <c r="HB144" s="168">
        <v>9327324</v>
      </c>
      <c r="HC144" s="168">
        <v>18225808</v>
      </c>
      <c r="HD144" s="168">
        <v>13714399</v>
      </c>
      <c r="HE144" s="168">
        <v>275590</v>
      </c>
      <c r="HF144" s="168">
        <v>334877</v>
      </c>
      <c r="HG144" s="168">
        <v>37411</v>
      </c>
      <c r="HH144" s="168">
        <v>26576</v>
      </c>
      <c r="HI144" s="168">
        <v>13224</v>
      </c>
      <c r="HJ144" s="168">
        <v>127876</v>
      </c>
      <c r="HK144" s="21"/>
      <c r="HL144" s="21"/>
      <c r="HM144" s="21"/>
      <c r="HN144" s="21"/>
      <c r="HO144" s="168">
        <v>4008862</v>
      </c>
      <c r="HP144" s="168">
        <v>3640757</v>
      </c>
      <c r="HQ144" s="21"/>
      <c r="HR144" s="21"/>
      <c r="HS144" s="21"/>
      <c r="HT144" s="21"/>
      <c r="HU144" s="168">
        <v>1373865</v>
      </c>
      <c r="HV144" s="168">
        <v>1251090</v>
      </c>
      <c r="HW144" s="21"/>
      <c r="HX144" s="21"/>
      <c r="HY144" s="168">
        <v>369000</v>
      </c>
      <c r="HZ144" s="168">
        <v>307000</v>
      </c>
      <c r="IA144" s="168">
        <v>225172</v>
      </c>
      <c r="IB144" s="168">
        <v>1055191</v>
      </c>
      <c r="IC144" s="168">
        <v>1338</v>
      </c>
      <c r="ID144" s="168">
        <v>1324</v>
      </c>
      <c r="IE144" s="168">
        <v>567298</v>
      </c>
      <c r="IF144" s="168">
        <v>413859</v>
      </c>
      <c r="IG144" s="168">
        <v>101963</v>
      </c>
      <c r="IH144" s="168">
        <v>481419</v>
      </c>
      <c r="II144" s="21"/>
      <c r="IJ144" s="21"/>
      <c r="IK144" s="21"/>
      <c r="IL144" s="21"/>
      <c r="IM144" s="168">
        <v>3967925</v>
      </c>
      <c r="IN144" s="168">
        <v>487983</v>
      </c>
      <c r="IO144" s="21"/>
      <c r="IP144" s="21"/>
      <c r="IQ144" s="21"/>
      <c r="IR144" s="21"/>
      <c r="IS144" s="168">
        <v>89475</v>
      </c>
      <c r="IT144" s="168">
        <v>6943</v>
      </c>
      <c r="IU144" s="168">
        <v>4280294</v>
      </c>
      <c r="IV144" s="168">
        <v>1165367</v>
      </c>
      <c r="IW144" s="168">
        <v>4256710</v>
      </c>
      <c r="IX144" s="168">
        <v>1614592</v>
      </c>
      <c r="IY144" s="168">
        <v>23584</v>
      </c>
      <c r="IZ144" s="168">
        <v>-449225</v>
      </c>
      <c r="JA144" s="168">
        <v>759058</v>
      </c>
      <c r="JB144" s="168">
        <v>809185</v>
      </c>
      <c r="JC144" s="21"/>
      <c r="JD144" s="21"/>
      <c r="JE144" s="168">
        <v>9209112</v>
      </c>
      <c r="JF144" s="168">
        <v>81380081</v>
      </c>
      <c r="JG144" s="168">
        <v>4000</v>
      </c>
      <c r="JH144" s="168">
        <v>1000</v>
      </c>
      <c r="JI144" s="168">
        <v>47275770</v>
      </c>
      <c r="JJ144" s="168">
        <v>37394020</v>
      </c>
      <c r="JK144" s="168">
        <v>103302</v>
      </c>
      <c r="JL144" s="168">
        <v>482749</v>
      </c>
      <c r="JM144" s="168">
        <v>4744207</v>
      </c>
      <c r="JN144" s="168">
        <v>1326044</v>
      </c>
      <c r="JO144" s="168">
        <v>126886</v>
      </c>
      <c r="JP144" s="168">
        <v>33524</v>
      </c>
      <c r="JQ144" s="21"/>
      <c r="JR144" s="21"/>
      <c r="JS144" s="168">
        <v>6638</v>
      </c>
      <c r="JT144" s="168">
        <v>57059</v>
      </c>
      <c r="JU144" s="21"/>
      <c r="JV144" s="21"/>
      <c r="JW144" s="168">
        <v>46788273</v>
      </c>
      <c r="JX144" s="168">
        <v>37682568</v>
      </c>
      <c r="JY144" s="21"/>
      <c r="JZ144" s="21"/>
      <c r="KA144" s="168">
        <v>34728995</v>
      </c>
      <c r="KB144" s="168">
        <v>28098152</v>
      </c>
      <c r="KC144" s="21"/>
      <c r="KD144" s="21"/>
      <c r="KE144" s="168">
        <v>12059278</v>
      </c>
      <c r="KF144" s="168">
        <v>9584416</v>
      </c>
      <c r="KG144" s="21"/>
      <c r="KH144" s="21"/>
      <c r="KI144" s="21"/>
      <c r="KJ144" s="21"/>
      <c r="KK144" s="21"/>
      <c r="KL144" s="21"/>
      <c r="KM144" s="21"/>
      <c r="KN144" s="21"/>
      <c r="KO144" s="21"/>
      <c r="KP144" s="21"/>
      <c r="KQ144" s="168">
        <v>2041980</v>
      </c>
      <c r="KR144" s="168">
        <v>1592014</v>
      </c>
      <c r="KS144" s="21"/>
      <c r="KT144" s="21"/>
      <c r="KU144" s="168">
        <v>5721155</v>
      </c>
      <c r="KV144" s="168">
        <v>4222505</v>
      </c>
      <c r="KW144" s="21"/>
      <c r="KX144" s="21"/>
      <c r="KY144" s="168">
        <v>14157</v>
      </c>
      <c r="KZ144" s="168">
        <v>24837</v>
      </c>
      <c r="LA144" s="168">
        <v>137500</v>
      </c>
      <c r="LB144" s="168">
        <v>137500</v>
      </c>
      <c r="LC144" s="21"/>
      <c r="LD144" s="21"/>
      <c r="LE144" s="21"/>
      <c r="LF144" s="21"/>
      <c r="LG144" s="21"/>
      <c r="LH144" s="21"/>
      <c r="LI144" s="168">
        <v>6345237</v>
      </c>
      <c r="LJ144" s="168">
        <v>3156456</v>
      </c>
      <c r="LK144" s="168">
        <v>6407022</v>
      </c>
      <c r="LL144" s="168">
        <v>4474757</v>
      </c>
      <c r="LM144" s="168">
        <v>850</v>
      </c>
      <c r="LN144" s="168">
        <v>3039</v>
      </c>
      <c r="LO144" s="21"/>
      <c r="LP144" s="21"/>
      <c r="LQ144" s="21"/>
      <c r="LR144" s="21"/>
      <c r="LS144" s="21"/>
      <c r="LT144" s="21"/>
      <c r="LU144" s="21"/>
      <c r="LV144" s="21"/>
      <c r="LW144" s="168">
        <v>13750</v>
      </c>
      <c r="LX144" s="168">
        <v>13750</v>
      </c>
      <c r="LY144" s="21"/>
      <c r="LZ144" s="21"/>
      <c r="MA144" s="168">
        <v>1902159</v>
      </c>
      <c r="MB144" s="168">
        <v>758385</v>
      </c>
      <c r="MC144" s="168">
        <v>450</v>
      </c>
      <c r="MD144" s="168">
        <v>450</v>
      </c>
      <c r="ME144" s="21"/>
      <c r="MF144" s="21"/>
      <c r="MG144" s="21"/>
      <c r="MH144" s="21"/>
      <c r="MI144" s="168">
        <v>1450371</v>
      </c>
      <c r="MJ144" s="168">
        <v>1450371</v>
      </c>
      <c r="MK144" s="21"/>
      <c r="ML144" s="21"/>
      <c r="MM144" s="168">
        <v>5079320</v>
      </c>
      <c r="MN144" s="21"/>
      <c r="MO144" s="21"/>
      <c r="MP144" s="21"/>
      <c r="MQ144" s="168">
        <v>486500</v>
      </c>
      <c r="MR144" s="168">
        <v>424500</v>
      </c>
      <c r="MS144" s="21"/>
      <c r="MT144" s="21"/>
      <c r="MU144" s="21"/>
      <c r="MV144" s="21"/>
      <c r="MW144" s="21"/>
      <c r="MX144" s="21"/>
      <c r="MY144" s="21"/>
      <c r="MZ144" s="21"/>
      <c r="NA144" s="21"/>
      <c r="NB144" s="21"/>
      <c r="NC144" s="168">
        <v>3148015</v>
      </c>
      <c r="ND144" s="168">
        <v>1163981</v>
      </c>
      <c r="NE144" s="21"/>
      <c r="NF144" s="21"/>
      <c r="NG144" s="168">
        <v>12320660</v>
      </c>
      <c r="NH144" s="168">
        <v>9172631</v>
      </c>
      <c r="NI144" s="168">
        <v>249544</v>
      </c>
      <c r="NJ144" s="168">
        <v>188089</v>
      </c>
      <c r="NK144" s="21"/>
      <c r="NL144" s="21"/>
      <c r="NM144" s="168">
        <v>27364703</v>
      </c>
      <c r="NN144" s="168">
        <v>12421286</v>
      </c>
      <c r="NO144" s="168">
        <v>40464138</v>
      </c>
      <c r="NP144" s="168">
        <v>22280131</v>
      </c>
      <c r="NQ144" s="168" t="s">
        <v>1450</v>
      </c>
      <c r="NR144" s="168" t="s">
        <v>779</v>
      </c>
      <c r="NS144" s="168" t="s">
        <v>770</v>
      </c>
      <c r="NT144" s="168" t="s">
        <v>771</v>
      </c>
      <c r="NU144" s="168">
        <v>3801</v>
      </c>
      <c r="NV144" s="168" t="s">
        <v>2104</v>
      </c>
      <c r="NW144" s="168" t="s">
        <v>28</v>
      </c>
      <c r="NX144" s="168" t="s">
        <v>25</v>
      </c>
      <c r="NY144" s="169">
        <v>42825</v>
      </c>
      <c r="NZ144" s="169">
        <v>42460</v>
      </c>
      <c r="OA144" s="169">
        <v>43061</v>
      </c>
      <c r="OB144" s="168" t="s">
        <v>1451</v>
      </c>
      <c r="OC144" s="168">
        <v>12</v>
      </c>
      <c r="OD144" s="168" t="s">
        <v>2105</v>
      </c>
      <c r="OE144" s="168" t="s">
        <v>1452</v>
      </c>
      <c r="OF144" s="168" t="s">
        <v>2550</v>
      </c>
      <c r="OG144" s="168" t="s">
        <v>2025</v>
      </c>
      <c r="OH144" s="168" t="s">
        <v>833</v>
      </c>
      <c r="OI144" s="168" t="s">
        <v>766</v>
      </c>
      <c r="OJ144" s="168" t="s">
        <v>3240</v>
      </c>
      <c r="OK144" s="168" t="s">
        <v>778</v>
      </c>
    </row>
    <row r="145" spans="1:401" x14ac:dyDescent="0.2">
      <c r="A145" s="170" t="str">
        <f>Liste[[#This Row],[Siren]]</f>
        <v>451905087</v>
      </c>
      <c r="B145" s="198" t="str">
        <f>Liste[[#This Row],[Dénomination]]&amp;" - comptes "&amp;YEAR(Liste[[#This Row],[Date de cloture de l''exercice]])</f>
        <v>T.M. GROUP INVESTMENT HOLDING - comptes 2017</v>
      </c>
      <c r="C145" s="21"/>
      <c r="D145" s="21"/>
      <c r="E145" s="21"/>
      <c r="F145" s="168">
        <v>393695</v>
      </c>
      <c r="G145" s="168">
        <v>576086</v>
      </c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168">
        <v>4159256</v>
      </c>
      <c r="BE145" s="168">
        <v>4430187</v>
      </c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168">
        <v>2533816</v>
      </c>
      <c r="BY145" s="168">
        <v>1493169</v>
      </c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168">
        <v>2720121</v>
      </c>
      <c r="EM145" s="168">
        <v>2800207</v>
      </c>
      <c r="EN145" s="21"/>
      <c r="EO145" s="21"/>
      <c r="EP145" s="168">
        <v>19033033</v>
      </c>
      <c r="EQ145" s="168">
        <v>18851436</v>
      </c>
      <c r="ER145" s="21"/>
      <c r="ES145" s="21"/>
      <c r="ET145" s="168">
        <v>23050047</v>
      </c>
      <c r="EU145" s="168">
        <v>22194987</v>
      </c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168">
        <v>4816501</v>
      </c>
      <c r="FG145" s="168">
        <v>4277692</v>
      </c>
      <c r="FH145" s="21"/>
      <c r="FI145" s="168">
        <v>12013</v>
      </c>
      <c r="FJ145" s="168">
        <v>25773</v>
      </c>
      <c r="FK145" s="21"/>
      <c r="FL145" s="21"/>
      <c r="FM145" s="21"/>
      <c r="FN145" s="21"/>
      <c r="FO145" s="21"/>
      <c r="FP145" s="21"/>
      <c r="FQ145" s="21"/>
      <c r="FR145" s="21"/>
      <c r="FS145" s="21"/>
      <c r="FT145" s="21"/>
      <c r="FU145" s="21"/>
      <c r="FV145" s="21"/>
      <c r="FW145" s="168">
        <v>564387</v>
      </c>
      <c r="FX145" s="168">
        <v>446900</v>
      </c>
      <c r="FY145" s="168">
        <v>370998</v>
      </c>
      <c r="FZ145" s="168">
        <v>294010</v>
      </c>
      <c r="GA145" s="21"/>
      <c r="GB145" s="21"/>
      <c r="GC145" s="21"/>
      <c r="GD145" s="21"/>
      <c r="GE145" s="21"/>
      <c r="GF145" s="21"/>
      <c r="GG145" s="21"/>
      <c r="GH145" s="21"/>
      <c r="GI145" s="21"/>
      <c r="GJ145" s="21"/>
      <c r="GK145" s="21"/>
      <c r="GL145" s="21"/>
      <c r="GM145" s="168">
        <v>2068806</v>
      </c>
      <c r="GN145" s="168">
        <v>1825051</v>
      </c>
      <c r="GO145" s="168">
        <v>2068806</v>
      </c>
      <c r="GP145" s="168">
        <v>1825051</v>
      </c>
      <c r="GQ145" s="21"/>
      <c r="GR145" s="21"/>
      <c r="GS145" s="168">
        <v>1697808</v>
      </c>
      <c r="GT145" s="168">
        <v>1531040</v>
      </c>
      <c r="GU145" s="168">
        <v>2929</v>
      </c>
      <c r="GV145" s="168">
        <v>10361</v>
      </c>
      <c r="GW145" s="168">
        <v>14942</v>
      </c>
      <c r="GX145" s="168">
        <v>36134</v>
      </c>
      <c r="GY145" s="21"/>
      <c r="GZ145" s="21"/>
      <c r="HA145" s="21"/>
      <c r="HB145" s="21"/>
      <c r="HC145" s="168">
        <v>4846671</v>
      </c>
      <c r="HD145" s="168">
        <v>4690721</v>
      </c>
      <c r="HE145" s="21"/>
      <c r="HF145" s="21"/>
      <c r="HG145" s="21"/>
      <c r="HH145" s="21"/>
      <c r="HI145" s="168">
        <v>371</v>
      </c>
      <c r="HJ145" s="168">
        <v>1912</v>
      </c>
      <c r="HK145" s="21"/>
      <c r="HL145" s="21"/>
      <c r="HM145" s="21"/>
      <c r="HN145" s="21"/>
      <c r="HO145" s="21"/>
      <c r="HP145" s="21"/>
      <c r="HQ145" s="21"/>
      <c r="HR145" s="21"/>
      <c r="HS145" s="21"/>
      <c r="HT145" s="21"/>
      <c r="HU145" s="168">
        <v>350800</v>
      </c>
      <c r="HV145" s="168">
        <v>323092</v>
      </c>
      <c r="HW145" s="21"/>
      <c r="HX145" s="21"/>
      <c r="HY145" s="21"/>
      <c r="HZ145" s="168">
        <v>4631</v>
      </c>
      <c r="IA145" s="21"/>
      <c r="IB145" s="21"/>
      <c r="IC145" s="21"/>
      <c r="ID145" s="21"/>
      <c r="IE145" s="168">
        <v>281352</v>
      </c>
      <c r="IF145" s="168">
        <v>236644</v>
      </c>
      <c r="IG145" s="21"/>
      <c r="IH145" s="21"/>
      <c r="II145" s="21"/>
      <c r="IJ145" s="21"/>
      <c r="IK145" s="21"/>
      <c r="IL145" s="21"/>
      <c r="IM145" s="21"/>
      <c r="IN145" s="21"/>
      <c r="IO145" s="21"/>
      <c r="IP145" s="21"/>
      <c r="IQ145" s="21"/>
      <c r="IR145" s="21"/>
      <c r="IS145" s="21"/>
      <c r="IT145" s="21"/>
      <c r="IU145" s="168">
        <v>2621180</v>
      </c>
      <c r="IV145" s="168">
        <v>2246178</v>
      </c>
      <c r="IW145" s="168">
        <v>2686817</v>
      </c>
      <c r="IX145" s="168">
        <v>2304461</v>
      </c>
      <c r="IY145" s="168">
        <v>-65637</v>
      </c>
      <c r="IZ145" s="168">
        <v>-58283</v>
      </c>
      <c r="JA145" s="168">
        <v>142440</v>
      </c>
      <c r="JB145" s="168">
        <v>202671</v>
      </c>
      <c r="JC145" s="21"/>
      <c r="JD145" s="21"/>
      <c r="JE145" s="168">
        <v>5112929</v>
      </c>
      <c r="JF145" s="168">
        <v>4546978</v>
      </c>
      <c r="JG145" s="21"/>
      <c r="JH145" s="21"/>
      <c r="JI145" s="168">
        <v>18407180</v>
      </c>
      <c r="JJ145" s="168">
        <v>17763273</v>
      </c>
      <c r="JK145" s="168">
        <v>170120</v>
      </c>
      <c r="JL145" s="168">
        <v>149951</v>
      </c>
      <c r="JM145" s="168">
        <v>21093997</v>
      </c>
      <c r="JN145" s="168">
        <v>20067734</v>
      </c>
      <c r="JO145" s="168">
        <v>104483</v>
      </c>
      <c r="JP145" s="168">
        <v>91668</v>
      </c>
      <c r="JQ145" s="21"/>
      <c r="JR145" s="21"/>
      <c r="JS145" s="21"/>
      <c r="JT145" s="21"/>
      <c r="JU145" s="21"/>
      <c r="JV145" s="21"/>
      <c r="JW145" s="168">
        <v>20951186</v>
      </c>
      <c r="JX145" s="168">
        <v>19863151</v>
      </c>
      <c r="JY145" s="21"/>
      <c r="JZ145" s="21"/>
      <c r="KA145" s="21"/>
      <c r="KB145" s="21"/>
      <c r="KC145" s="21"/>
      <c r="KD145" s="21"/>
      <c r="KE145" s="21"/>
      <c r="KF145" s="21"/>
      <c r="KG145" s="21"/>
      <c r="KH145" s="21"/>
      <c r="KI145" s="168">
        <v>19803380</v>
      </c>
      <c r="KJ145" s="168">
        <v>18672100</v>
      </c>
      <c r="KK145" s="21"/>
      <c r="KL145" s="21"/>
      <c r="KM145" s="21"/>
      <c r="KN145" s="21"/>
      <c r="KO145" s="21"/>
      <c r="KP145" s="21"/>
      <c r="KQ145" s="168">
        <v>1193229</v>
      </c>
      <c r="KR145" s="168">
        <v>1267928</v>
      </c>
      <c r="KS145" s="21"/>
      <c r="KT145" s="21"/>
      <c r="KU145" s="21"/>
      <c r="KV145" s="21"/>
      <c r="KW145" s="21"/>
      <c r="KX145" s="21"/>
      <c r="KY145" s="21"/>
      <c r="KZ145" s="21"/>
      <c r="LA145" s="168">
        <v>1676900</v>
      </c>
      <c r="LB145" s="168">
        <v>1676900</v>
      </c>
      <c r="LC145" s="21"/>
      <c r="LD145" s="21"/>
      <c r="LE145" s="21"/>
      <c r="LF145" s="21"/>
      <c r="LG145" s="21"/>
      <c r="LH145" s="21"/>
      <c r="LI145" s="168">
        <v>1588306</v>
      </c>
      <c r="LJ145" s="168">
        <v>1104598</v>
      </c>
      <c r="LK145" s="168">
        <v>2338501</v>
      </c>
      <c r="LL145" s="168">
        <v>2630128</v>
      </c>
      <c r="LM145" s="21"/>
      <c r="LN145" s="21"/>
      <c r="LO145" s="21"/>
      <c r="LP145" s="21"/>
      <c r="LQ145" s="21"/>
      <c r="LR145" s="21"/>
      <c r="LS145" s="21"/>
      <c r="LT145" s="21"/>
      <c r="LU145" s="21"/>
      <c r="LV145" s="21"/>
      <c r="LW145" s="21"/>
      <c r="LX145" s="21"/>
      <c r="LY145" s="21"/>
      <c r="LZ145" s="21"/>
      <c r="MA145" s="21"/>
      <c r="MB145" s="21"/>
      <c r="MC145" s="168">
        <v>2250859</v>
      </c>
      <c r="MD145" s="168">
        <v>2798834</v>
      </c>
      <c r="ME145" s="21"/>
      <c r="MF145" s="21"/>
      <c r="MG145" s="21"/>
      <c r="MH145" s="21"/>
      <c r="MI145" s="21"/>
      <c r="MJ145" s="21"/>
      <c r="MK145" s="21"/>
      <c r="ML145" s="21"/>
      <c r="MM145" s="21"/>
      <c r="MN145" s="21"/>
      <c r="MO145" s="21"/>
      <c r="MP145" s="21"/>
      <c r="MQ145" s="21"/>
      <c r="MR145" s="21"/>
      <c r="MS145" s="21"/>
      <c r="MT145" s="21"/>
      <c r="MU145" s="21"/>
      <c r="MV145" s="21"/>
      <c r="MW145" s="21"/>
      <c r="MX145" s="21"/>
      <c r="MY145" s="21"/>
      <c r="MZ145" s="21"/>
      <c r="NA145" s="21"/>
      <c r="NB145" s="21"/>
      <c r="NC145" s="168">
        <v>1697808</v>
      </c>
      <c r="ND145" s="168">
        <v>1531040</v>
      </c>
      <c r="NE145" s="21"/>
      <c r="NF145" s="21"/>
      <c r="NG145" s="168">
        <v>11760491</v>
      </c>
      <c r="NH145" s="168">
        <v>10746783</v>
      </c>
      <c r="NI145" s="21"/>
      <c r="NJ145" s="21"/>
      <c r="NK145" s="168">
        <v>3226683</v>
      </c>
      <c r="NL145" s="168">
        <v>3105685</v>
      </c>
      <c r="NM145" s="168">
        <v>8023186</v>
      </c>
      <c r="NN145" s="168">
        <v>8309999</v>
      </c>
      <c r="NO145" s="168">
        <v>23050047</v>
      </c>
      <c r="NP145" s="168">
        <v>22194967</v>
      </c>
      <c r="NQ145" s="168" t="s">
        <v>1172</v>
      </c>
      <c r="NR145" s="168" t="s">
        <v>769</v>
      </c>
      <c r="NS145" s="168" t="s">
        <v>770</v>
      </c>
      <c r="NT145" s="168" t="s">
        <v>771</v>
      </c>
      <c r="NU145" s="168">
        <v>7106</v>
      </c>
      <c r="NV145" s="168" t="s">
        <v>2104</v>
      </c>
      <c r="NW145" s="168" t="s">
        <v>28</v>
      </c>
      <c r="NX145" s="168" t="s">
        <v>25</v>
      </c>
      <c r="NY145" s="169">
        <v>42825</v>
      </c>
      <c r="NZ145" s="169">
        <v>42460</v>
      </c>
      <c r="OA145" s="169">
        <v>43116</v>
      </c>
      <c r="OB145" s="168" t="s">
        <v>3278</v>
      </c>
      <c r="OC145" s="168">
        <v>12</v>
      </c>
      <c r="OD145" s="168" t="s">
        <v>2105</v>
      </c>
      <c r="OE145" s="168" t="s">
        <v>3279</v>
      </c>
      <c r="OF145" s="168" t="s">
        <v>3280</v>
      </c>
      <c r="OG145" s="168" t="s">
        <v>3281</v>
      </c>
      <c r="OH145" s="168" t="s">
        <v>1159</v>
      </c>
      <c r="OI145" s="168" t="s">
        <v>766</v>
      </c>
      <c r="OJ145" s="168" t="s">
        <v>3240</v>
      </c>
      <c r="OK145" s="168" t="s">
        <v>767</v>
      </c>
    </row>
    <row r="146" spans="1:401" x14ac:dyDescent="0.2">
      <c r="A146" s="170" t="str">
        <f>Liste[[#This Row],[Siren]]</f>
        <v>377550249</v>
      </c>
      <c r="B146" s="198" t="str">
        <f>Liste[[#This Row],[Dénomination]]&amp;" - comptes "&amp;YEAR(Liste[[#This Row],[Date de cloture de l''exercice]])</f>
        <v>Wavestone - comptes 2017</v>
      </c>
      <c r="C146" s="21"/>
      <c r="D146" s="21"/>
      <c r="E146" s="21"/>
      <c r="F146" s="168">
        <v>19668000</v>
      </c>
      <c r="G146" s="168">
        <v>23969000</v>
      </c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168">
        <v>111179000</v>
      </c>
      <c r="BE146" s="168">
        <v>100976000</v>
      </c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168">
        <v>119761000</v>
      </c>
      <c r="CF146" s="168">
        <v>130397000</v>
      </c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168">
        <v>163953000</v>
      </c>
      <c r="EM146" s="168">
        <v>147043000</v>
      </c>
      <c r="EN146" s="21"/>
      <c r="EO146" s="21"/>
      <c r="EP146" s="168">
        <v>169570000</v>
      </c>
      <c r="EQ146" s="168">
        <v>164732000</v>
      </c>
      <c r="ER146" s="21"/>
      <c r="ES146" s="21"/>
      <c r="ET146" s="168">
        <v>333523000</v>
      </c>
      <c r="EU146" s="168">
        <v>311774000</v>
      </c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168">
        <v>20055</v>
      </c>
      <c r="FL146" s="168">
        <v>13358</v>
      </c>
      <c r="FM146" s="21"/>
      <c r="FN146" s="21"/>
      <c r="FO146" s="21"/>
      <c r="FP146" s="21"/>
      <c r="FQ146" s="21"/>
      <c r="FR146" s="21"/>
      <c r="FS146" s="21"/>
      <c r="FT146" s="21"/>
      <c r="FU146" s="21"/>
      <c r="FV146" s="21"/>
      <c r="FW146" s="168">
        <v>13095</v>
      </c>
      <c r="FX146" s="168">
        <v>8423</v>
      </c>
      <c r="FY146" s="21"/>
      <c r="FZ146" s="21"/>
      <c r="GA146" s="21"/>
      <c r="GB146" s="21"/>
      <c r="GC146" s="21"/>
      <c r="GD146" s="21"/>
      <c r="GE146" s="21"/>
      <c r="GF146" s="21"/>
      <c r="GG146" s="21"/>
      <c r="GH146" s="21"/>
      <c r="GI146" s="21"/>
      <c r="GJ146" s="21"/>
      <c r="GK146" s="21"/>
      <c r="GL146" s="21"/>
      <c r="GM146" s="21"/>
      <c r="GN146" s="21"/>
      <c r="GO146" s="21"/>
      <c r="GP146" s="21"/>
      <c r="GQ146" s="21"/>
      <c r="GR146" s="21"/>
      <c r="GS146" s="168">
        <v>20055</v>
      </c>
      <c r="GT146" s="168">
        <v>13358</v>
      </c>
      <c r="GU146" s="21"/>
      <c r="GV146" s="21"/>
      <c r="GW146" s="21"/>
      <c r="GX146" s="21"/>
      <c r="GY146" s="21"/>
      <c r="GZ146" s="21"/>
      <c r="HA146" s="21"/>
      <c r="HB146" s="21"/>
      <c r="HC146" s="21"/>
      <c r="HD146" s="21"/>
      <c r="HE146" s="21"/>
      <c r="HF146" s="21"/>
      <c r="HG146" s="21"/>
      <c r="HH146" s="21"/>
      <c r="HI146" s="21"/>
      <c r="HJ146" s="21"/>
      <c r="HK146" s="21"/>
      <c r="HL146" s="21"/>
      <c r="HM146" s="21"/>
      <c r="HN146" s="21"/>
      <c r="HO146" s="21"/>
      <c r="HP146" s="21"/>
      <c r="HQ146" s="21"/>
      <c r="HR146" s="21"/>
      <c r="HS146" s="21"/>
      <c r="HT146" s="21"/>
      <c r="HU146" s="21"/>
      <c r="HV146" s="21"/>
      <c r="HW146" s="21"/>
      <c r="HX146" s="21"/>
      <c r="HY146" s="21"/>
      <c r="HZ146" s="21"/>
      <c r="IA146" s="21"/>
      <c r="IB146" s="21"/>
      <c r="IC146" s="21"/>
      <c r="ID146" s="21"/>
      <c r="IE146" s="168">
        <v>5782</v>
      </c>
      <c r="IF146" s="168">
        <v>4396</v>
      </c>
      <c r="IG146" s="21"/>
      <c r="IH146" s="21"/>
      <c r="II146" s="21"/>
      <c r="IJ146" s="21"/>
      <c r="IK146" s="21"/>
      <c r="IL146" s="21"/>
      <c r="IM146" s="21"/>
      <c r="IN146" s="21"/>
      <c r="IO146" s="21"/>
      <c r="IP146" s="21"/>
      <c r="IQ146" s="21"/>
      <c r="IR146" s="21"/>
      <c r="IS146" s="21"/>
      <c r="IT146" s="21"/>
      <c r="IU146" s="168">
        <v>33151</v>
      </c>
      <c r="IV146" s="168">
        <v>21781</v>
      </c>
      <c r="IW146" s="21"/>
      <c r="IX146" s="21"/>
      <c r="IY146" s="21"/>
      <c r="IZ146" s="21"/>
      <c r="JA146" s="21"/>
      <c r="JB146" s="21"/>
      <c r="JC146" s="21"/>
      <c r="JD146" s="21"/>
      <c r="JE146" s="21"/>
      <c r="JF146" s="21"/>
      <c r="JG146" s="21"/>
      <c r="JH146" s="21"/>
      <c r="JI146" s="21"/>
      <c r="JJ146" s="21"/>
      <c r="JK146" s="21"/>
      <c r="JL146" s="21"/>
      <c r="JM146" s="21"/>
      <c r="JN146" s="21"/>
      <c r="JO146" s="21"/>
      <c r="JP146" s="21"/>
      <c r="JQ146" s="21"/>
      <c r="JR146" s="21"/>
      <c r="JS146" s="21"/>
      <c r="JT146" s="21"/>
      <c r="JU146" s="21"/>
      <c r="JV146" s="21"/>
      <c r="JW146" s="168">
        <v>338732</v>
      </c>
      <c r="JX146" s="168">
        <v>233020</v>
      </c>
      <c r="JY146" s="21"/>
      <c r="JZ146" s="21"/>
      <c r="KA146" s="21"/>
      <c r="KB146" s="21"/>
      <c r="KC146" s="21"/>
      <c r="KD146" s="21"/>
      <c r="KE146" s="21"/>
      <c r="KF146" s="21"/>
      <c r="KG146" s="21"/>
      <c r="KH146" s="21"/>
      <c r="KI146" s="21"/>
      <c r="KJ146" s="21"/>
      <c r="KK146" s="21"/>
      <c r="KL146" s="21"/>
      <c r="KM146" s="21"/>
      <c r="KN146" s="21"/>
      <c r="KO146" s="21"/>
      <c r="KP146" s="21"/>
      <c r="KQ146" s="21"/>
      <c r="KR146" s="21"/>
      <c r="KS146" s="21"/>
      <c r="KT146" s="21"/>
      <c r="KU146" s="21"/>
      <c r="KV146" s="21"/>
      <c r="KW146" s="21"/>
      <c r="KX146" s="21"/>
      <c r="KY146" s="21"/>
      <c r="KZ146" s="21"/>
      <c r="LA146" s="168">
        <v>497000</v>
      </c>
      <c r="LB146" s="168">
        <v>497000</v>
      </c>
      <c r="LC146" s="21"/>
      <c r="LD146" s="21"/>
      <c r="LE146" s="21"/>
      <c r="LF146" s="21"/>
      <c r="LG146" s="21"/>
      <c r="LH146" s="21"/>
      <c r="LI146" s="168">
        <v>80324000</v>
      </c>
      <c r="LJ146" s="168">
        <v>77360000</v>
      </c>
      <c r="LK146" s="168">
        <v>15414000</v>
      </c>
      <c r="LL146" s="168">
        <v>13442000</v>
      </c>
      <c r="LM146" s="21"/>
      <c r="LN146" s="21"/>
      <c r="LO146" s="21"/>
      <c r="LP146" s="21"/>
      <c r="LQ146" s="21"/>
      <c r="LR146" s="21"/>
      <c r="LS146" s="21"/>
      <c r="LT146" s="21"/>
      <c r="LU146" s="21"/>
      <c r="LV146" s="21"/>
      <c r="LW146" s="21"/>
      <c r="LX146" s="21"/>
      <c r="LY146" s="21"/>
      <c r="LZ146" s="21"/>
      <c r="MA146" s="21"/>
      <c r="MB146" s="21"/>
      <c r="MC146" s="21"/>
      <c r="MD146" s="21"/>
      <c r="ME146" s="21"/>
      <c r="MF146" s="21"/>
      <c r="MG146" s="21"/>
      <c r="MH146" s="21"/>
      <c r="MI146" s="168">
        <v>11218000</v>
      </c>
      <c r="MJ146" s="168">
        <v>11218000</v>
      </c>
      <c r="MK146" s="21"/>
      <c r="ML146" s="21"/>
      <c r="MM146" s="21"/>
      <c r="MN146" s="21"/>
      <c r="MO146" s="21"/>
      <c r="MP146" s="21"/>
      <c r="MQ146" s="21"/>
      <c r="MR146" s="21"/>
      <c r="MS146" s="21"/>
      <c r="MT146" s="21"/>
      <c r="MU146" s="21"/>
      <c r="MV146" s="21"/>
      <c r="MW146" s="21"/>
      <c r="MX146" s="21"/>
      <c r="MY146" s="21"/>
      <c r="MZ146" s="21"/>
      <c r="NA146" s="21"/>
      <c r="NB146" s="21"/>
      <c r="NC146" s="21"/>
      <c r="ND146" s="21"/>
      <c r="NE146" s="21"/>
      <c r="NF146" s="21"/>
      <c r="NG146" s="168">
        <v>104110000</v>
      </c>
      <c r="NH146" s="168">
        <v>84979000</v>
      </c>
      <c r="NI146" s="21"/>
      <c r="NJ146" s="21"/>
      <c r="NK146" s="21"/>
      <c r="NL146" s="21"/>
      <c r="NM146" s="21"/>
      <c r="NN146" s="21"/>
      <c r="NO146" s="168">
        <v>333523000</v>
      </c>
      <c r="NP146" s="168">
        <v>311774000</v>
      </c>
      <c r="NQ146" s="168" t="s">
        <v>880</v>
      </c>
      <c r="NR146" s="168" t="s">
        <v>872</v>
      </c>
      <c r="NS146" s="168" t="s">
        <v>770</v>
      </c>
      <c r="NT146" s="168" t="s">
        <v>771</v>
      </c>
      <c r="NU146" s="168">
        <v>9201</v>
      </c>
      <c r="NV146" s="168" t="s">
        <v>2104</v>
      </c>
      <c r="NW146" s="168" t="s">
        <v>28</v>
      </c>
      <c r="NX146" s="168" t="s">
        <v>25</v>
      </c>
      <c r="NY146" s="169">
        <v>42825</v>
      </c>
      <c r="NZ146" s="169">
        <v>42460</v>
      </c>
      <c r="OA146" s="169">
        <v>42954</v>
      </c>
      <c r="OB146" s="168" t="s">
        <v>1473</v>
      </c>
      <c r="OC146" s="168">
        <v>12</v>
      </c>
      <c r="OD146" s="168" t="s">
        <v>2105</v>
      </c>
      <c r="OE146" s="168" t="s">
        <v>2566</v>
      </c>
      <c r="OF146" s="168" t="s">
        <v>2567</v>
      </c>
      <c r="OG146" s="168" t="s">
        <v>2037</v>
      </c>
      <c r="OH146" s="168" t="s">
        <v>777</v>
      </c>
      <c r="OI146" s="168" t="s">
        <v>766</v>
      </c>
      <c r="OJ146" s="168" t="s">
        <v>3240</v>
      </c>
      <c r="OK146" s="168" t="s">
        <v>871</v>
      </c>
    </row>
    <row r="147" spans="1:401" x14ac:dyDescent="0.2">
      <c r="A147" s="170" t="str">
        <f>Liste[[#This Row],[Siren]]</f>
        <v>389551904</v>
      </c>
      <c r="B147" s="198" t="str">
        <f>Liste[[#This Row],[Dénomination]]&amp;" - comptes "&amp;YEAR(Liste[[#This Row],[Date de cloture de l''exercice]])</f>
        <v>YERAZ - comptes 2017</v>
      </c>
      <c r="C147" s="21"/>
      <c r="D147" s="21"/>
      <c r="E147" s="21"/>
      <c r="F147" s="168">
        <v>4034242</v>
      </c>
      <c r="G147" s="168">
        <v>2824576</v>
      </c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168">
        <v>22834265</v>
      </c>
      <c r="BE147" s="168">
        <v>18099066</v>
      </c>
      <c r="BF147" s="168">
        <v>-3</v>
      </c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168">
        <v>9402075</v>
      </c>
      <c r="BY147" s="168">
        <v>14647520</v>
      </c>
      <c r="BZ147" s="168">
        <v>-3</v>
      </c>
      <c r="CA147" s="21"/>
      <c r="CB147" s="21"/>
      <c r="CC147" s="21"/>
      <c r="CD147" s="21"/>
      <c r="CE147" s="168">
        <v>6683877</v>
      </c>
      <c r="CF147" s="168">
        <v>8029722</v>
      </c>
      <c r="CG147" s="168">
        <v>-5</v>
      </c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168">
        <v>10303998</v>
      </c>
      <c r="EM147" s="168">
        <v>10760092</v>
      </c>
      <c r="EN147" s="168">
        <v>-3</v>
      </c>
      <c r="EO147" s="21"/>
      <c r="EP147" s="168">
        <v>45947105</v>
      </c>
      <c r="EQ147" s="168">
        <v>44126516</v>
      </c>
      <c r="ER147" s="21"/>
      <c r="ES147" s="21"/>
      <c r="ET147" s="168">
        <v>56251103</v>
      </c>
      <c r="EU147" s="168">
        <v>54886608</v>
      </c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168">
        <v>66757</v>
      </c>
      <c r="FG147" s="168">
        <v>152535</v>
      </c>
      <c r="FH147" s="168">
        <v>-3</v>
      </c>
      <c r="FI147" s="168">
        <v>3574</v>
      </c>
      <c r="FJ147" s="168">
        <v>-20112</v>
      </c>
      <c r="FK147" s="21"/>
      <c r="FL147" s="21"/>
      <c r="FM147" s="21"/>
      <c r="FN147" s="21"/>
      <c r="FO147" s="21"/>
      <c r="FP147" s="21"/>
      <c r="FQ147" s="168">
        <v>-1247199</v>
      </c>
      <c r="FR147" s="168">
        <v>-1200715</v>
      </c>
      <c r="FS147" s="21"/>
      <c r="FT147" s="21"/>
      <c r="FU147" s="21"/>
      <c r="FV147" s="21"/>
      <c r="FW147" s="21"/>
      <c r="FX147" s="21"/>
      <c r="FY147" s="168">
        <v>-38</v>
      </c>
      <c r="FZ147" s="168">
        <v>-720</v>
      </c>
      <c r="GA147" s="21"/>
      <c r="GB147" s="21"/>
      <c r="GC147" s="21"/>
      <c r="GD147" s="21"/>
      <c r="GE147" s="21"/>
      <c r="GF147" s="21"/>
      <c r="GG147" s="21"/>
      <c r="GH147" s="21"/>
      <c r="GI147" s="21"/>
      <c r="GJ147" s="21"/>
      <c r="GK147" s="21"/>
      <c r="GL147" s="21"/>
      <c r="GM147" s="21"/>
      <c r="GN147" s="21"/>
      <c r="GO147" s="168">
        <v>8079834</v>
      </c>
      <c r="GP147" s="168">
        <v>8209190</v>
      </c>
      <c r="GQ147" s="21"/>
      <c r="GR147" s="21"/>
      <c r="GS147" s="168">
        <v>8079873</v>
      </c>
      <c r="GT147" s="168">
        <v>8209910</v>
      </c>
      <c r="GU147" s="168">
        <v>-80679</v>
      </c>
      <c r="GV147" s="168">
        <v>-99530</v>
      </c>
      <c r="GW147" s="168">
        <v>84253</v>
      </c>
      <c r="GX147" s="168">
        <v>79419</v>
      </c>
      <c r="GY147" s="21"/>
      <c r="GZ147" s="21"/>
      <c r="HA147" s="21"/>
      <c r="HB147" s="21"/>
      <c r="HC147" s="168">
        <v>-18774703</v>
      </c>
      <c r="HD147" s="168">
        <v>-13522921</v>
      </c>
      <c r="HE147" s="21"/>
      <c r="HF147" s="21"/>
      <c r="HG147" s="21"/>
      <c r="HH147" s="21"/>
      <c r="HI147" s="168">
        <v>1325131</v>
      </c>
      <c r="HJ147" s="168">
        <v>1324418</v>
      </c>
      <c r="HK147" s="21"/>
      <c r="HL147" s="21"/>
      <c r="HM147" s="21"/>
      <c r="HN147" s="21"/>
      <c r="HO147" s="21"/>
      <c r="HP147" s="21"/>
      <c r="HQ147" s="21"/>
      <c r="HR147" s="21"/>
      <c r="HS147" s="21"/>
      <c r="HT147" s="21"/>
      <c r="HU147" s="21"/>
      <c r="HV147" s="21"/>
      <c r="HW147" s="21"/>
      <c r="HX147" s="21"/>
      <c r="HY147" s="21"/>
      <c r="HZ147" s="21"/>
      <c r="IA147" s="21"/>
      <c r="IB147" s="21"/>
      <c r="IC147" s="21"/>
      <c r="ID147" s="21"/>
      <c r="IE147" s="168">
        <v>-1617817</v>
      </c>
      <c r="IF147" s="168">
        <v>-1147155</v>
      </c>
      <c r="IG147" s="21"/>
      <c r="IH147" s="21"/>
      <c r="II147" s="21"/>
      <c r="IJ147" s="21"/>
      <c r="IK147" s="21"/>
      <c r="IL147" s="21"/>
      <c r="IM147" s="21"/>
      <c r="IN147" s="21"/>
      <c r="IO147" s="21"/>
      <c r="IP147" s="21"/>
      <c r="IQ147" s="21"/>
      <c r="IR147" s="21"/>
      <c r="IS147" s="21"/>
      <c r="IT147" s="21"/>
      <c r="IU147" s="168">
        <v>13773691</v>
      </c>
      <c r="IV147" s="168">
        <v>14016104</v>
      </c>
      <c r="IW147" s="168">
        <v>13929205</v>
      </c>
      <c r="IX147" s="168">
        <v>14139483</v>
      </c>
      <c r="IY147" s="168">
        <v>-155544</v>
      </c>
      <c r="IZ147" s="168">
        <v>-123380</v>
      </c>
      <c r="JA147" s="21"/>
      <c r="JB147" s="21"/>
      <c r="JC147" s="21"/>
      <c r="JD147" s="21"/>
      <c r="JE147" s="168">
        <v>-25110506</v>
      </c>
      <c r="JF147" s="168">
        <v>-22354230</v>
      </c>
      <c r="JG147" s="21"/>
      <c r="JH147" s="21"/>
      <c r="JI147" s="168">
        <v>-84928471</v>
      </c>
      <c r="JJ147" s="168">
        <v>-66094316</v>
      </c>
      <c r="JK147" s="168">
        <v>-208730</v>
      </c>
      <c r="JL147" s="168">
        <v>-209937</v>
      </c>
      <c r="JM147" s="168">
        <v>98857377</v>
      </c>
      <c r="JN147" s="168">
        <v>80233800</v>
      </c>
      <c r="JO147" s="168">
        <v>53216</v>
      </c>
      <c r="JP147" s="168">
        <v>86557</v>
      </c>
      <c r="JQ147" s="21"/>
      <c r="JR147" s="21"/>
      <c r="JS147" s="21"/>
      <c r="JT147" s="21"/>
      <c r="JU147" s="21"/>
      <c r="JV147" s="21"/>
      <c r="JW147" s="168">
        <v>97532246</v>
      </c>
      <c r="JX147" s="168">
        <v>78909382</v>
      </c>
      <c r="JY147" s="21"/>
      <c r="JZ147" s="21"/>
      <c r="KA147" s="21"/>
      <c r="KB147" s="21"/>
      <c r="KC147" s="21"/>
      <c r="KD147" s="21"/>
      <c r="KE147" s="21"/>
      <c r="KF147" s="21"/>
      <c r="KG147" s="21"/>
      <c r="KH147" s="21"/>
      <c r="KI147" s="21"/>
      <c r="KJ147" s="21"/>
      <c r="KK147" s="21"/>
      <c r="KL147" s="21"/>
      <c r="KM147" s="21"/>
      <c r="KN147" s="21"/>
      <c r="KO147" s="21"/>
      <c r="KP147" s="21"/>
      <c r="KQ147" s="21"/>
      <c r="KR147" s="21"/>
      <c r="KS147" s="21"/>
      <c r="KT147" s="21"/>
      <c r="KU147" s="21"/>
      <c r="KV147" s="21"/>
      <c r="KW147" s="21"/>
      <c r="KX147" s="21"/>
      <c r="KY147" s="21"/>
      <c r="KZ147" s="21"/>
      <c r="LA147" s="168">
        <v>225625</v>
      </c>
      <c r="LB147" s="168">
        <v>225625</v>
      </c>
      <c r="LC147" s="21"/>
      <c r="LD147" s="21"/>
      <c r="LE147" s="21"/>
      <c r="LF147" s="21"/>
      <c r="LG147" s="21"/>
      <c r="LH147" s="21"/>
      <c r="LI147" s="21"/>
      <c r="LJ147" s="21"/>
      <c r="LK147" s="168">
        <v>11309796</v>
      </c>
      <c r="LL147" s="168">
        <v>8494568</v>
      </c>
      <c r="LM147" s="21"/>
      <c r="LN147" s="21"/>
      <c r="LO147" s="21"/>
      <c r="LP147" s="21"/>
      <c r="LQ147" s="21"/>
      <c r="LR147" s="21"/>
      <c r="LS147" s="21"/>
      <c r="LT147" s="21"/>
      <c r="LU147" s="21"/>
      <c r="LV147" s="21"/>
      <c r="LW147" s="21"/>
      <c r="LX147" s="21"/>
      <c r="LY147" s="168">
        <v>212127</v>
      </c>
      <c r="LZ147" s="168">
        <v>310773</v>
      </c>
      <c r="MA147" s="21"/>
      <c r="MB147" s="21"/>
      <c r="MC147" s="168">
        <v>9095050</v>
      </c>
      <c r="MD147" s="168">
        <v>11288443</v>
      </c>
      <c r="ME147" s="21"/>
      <c r="MF147" s="21"/>
      <c r="MG147" s="168">
        <v>25667</v>
      </c>
      <c r="MH147" s="168">
        <v>31551</v>
      </c>
      <c r="MI147" s="168">
        <v>7126824</v>
      </c>
      <c r="MJ147" s="168">
        <v>7126824</v>
      </c>
      <c r="MK147" s="21"/>
      <c r="ML147" s="21"/>
      <c r="MM147" s="21"/>
      <c r="MN147" s="21"/>
      <c r="MO147" s="21"/>
      <c r="MP147" s="21"/>
      <c r="MQ147" s="21"/>
      <c r="MR147" s="21"/>
      <c r="MS147" s="21"/>
      <c r="MT147" s="21"/>
      <c r="MU147" s="21"/>
      <c r="MV147" s="21"/>
      <c r="MW147" s="21"/>
      <c r="MX147" s="21"/>
      <c r="MY147" s="21"/>
      <c r="MZ147" s="21"/>
      <c r="NA147" s="21"/>
      <c r="NB147" s="21"/>
      <c r="NC147" s="168">
        <v>8079873</v>
      </c>
      <c r="ND147" s="168">
        <v>8209910</v>
      </c>
      <c r="NE147" s="21"/>
      <c r="NF147" s="21"/>
      <c r="NG147" s="168">
        <v>26554479</v>
      </c>
      <c r="NH147" s="168">
        <v>24470849</v>
      </c>
      <c r="NI147" s="21"/>
      <c r="NJ147" s="21"/>
      <c r="NK147" s="168">
        <v>-741</v>
      </c>
      <c r="NL147" s="168">
        <v>-740</v>
      </c>
      <c r="NM147" s="168">
        <v>27707751</v>
      </c>
      <c r="NN147" s="168">
        <v>28427364</v>
      </c>
      <c r="NO147" s="168">
        <v>56251103</v>
      </c>
      <c r="NP147" s="168">
        <v>54886609</v>
      </c>
      <c r="NQ147" s="168" t="s">
        <v>3283</v>
      </c>
      <c r="NR147" s="168" t="s">
        <v>769</v>
      </c>
      <c r="NS147" s="168" t="s">
        <v>770</v>
      </c>
      <c r="NT147" s="168" t="s">
        <v>771</v>
      </c>
      <c r="NU147" s="168">
        <v>8602</v>
      </c>
      <c r="NV147" s="168" t="s">
        <v>2104</v>
      </c>
      <c r="NW147" s="168" t="s">
        <v>28</v>
      </c>
      <c r="NX147" s="168" t="s">
        <v>25</v>
      </c>
      <c r="NY147" s="169">
        <v>42825</v>
      </c>
      <c r="NZ147" s="169">
        <v>42460</v>
      </c>
      <c r="OA147" s="169">
        <v>43066</v>
      </c>
      <c r="OB147" s="168" t="s">
        <v>1118</v>
      </c>
      <c r="OC147" s="168">
        <v>12</v>
      </c>
      <c r="OD147" s="168" t="s">
        <v>2105</v>
      </c>
      <c r="OE147" s="168" t="s">
        <v>2248</v>
      </c>
      <c r="OF147" s="168" t="s">
        <v>2305</v>
      </c>
      <c r="OG147" s="168" t="s">
        <v>1886</v>
      </c>
      <c r="OH147" s="168" t="s">
        <v>827</v>
      </c>
      <c r="OI147" s="168" t="s">
        <v>766</v>
      </c>
      <c r="OJ147" s="168" t="s">
        <v>3240</v>
      </c>
      <c r="OK147" s="168" t="s">
        <v>767</v>
      </c>
    </row>
    <row r="148" spans="1:401" x14ac:dyDescent="0.2">
      <c r="A148" s="170" t="str">
        <f>Liste[[#This Row],[Siren]]</f>
        <v>661780221</v>
      </c>
      <c r="B148" s="198" t="str">
        <f>Liste[[#This Row],[Dénomination]]&amp;" - comptes "&amp;YEAR(Liste[[#This Row],[Date de cloture de l''exercice]])</f>
        <v>CGR CINEMAS - comptes 2017</v>
      </c>
      <c r="C148" s="21"/>
      <c r="D148" s="21"/>
      <c r="E148" s="21"/>
      <c r="F148" s="168">
        <v>8936321</v>
      </c>
      <c r="G148" s="168">
        <v>7401462</v>
      </c>
      <c r="H148" s="168">
        <v>8936321</v>
      </c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168">
        <v>383450</v>
      </c>
      <c r="BD148" s="168">
        <v>19879560</v>
      </c>
      <c r="BE148" s="168">
        <v>25204376</v>
      </c>
      <c r="BF148" s="168">
        <v>20263010</v>
      </c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168">
        <v>10353505</v>
      </c>
      <c r="CE148" s="168">
        <v>57301025</v>
      </c>
      <c r="CF148" s="168">
        <v>11358327</v>
      </c>
      <c r="CG148" s="168">
        <v>67654530</v>
      </c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168">
        <v>233556776</v>
      </c>
      <c r="EL148" s="168">
        <v>316237313</v>
      </c>
      <c r="EM148" s="168">
        <v>294799590</v>
      </c>
      <c r="EN148" s="168">
        <v>549794089</v>
      </c>
      <c r="EO148" s="168">
        <v>1035009</v>
      </c>
      <c r="EP148" s="168">
        <v>112919854</v>
      </c>
      <c r="EQ148" s="168">
        <v>114094498</v>
      </c>
      <c r="ER148" s="168">
        <v>113954863</v>
      </c>
      <c r="ES148" s="168">
        <v>234591785</v>
      </c>
      <c r="ET148" s="168">
        <v>429157166</v>
      </c>
      <c r="EU148" s="168">
        <v>408894090</v>
      </c>
      <c r="EV148" s="168">
        <v>663748952</v>
      </c>
      <c r="EW148" s="21"/>
      <c r="EX148" s="21"/>
      <c r="EY148" s="21"/>
      <c r="EZ148" s="21"/>
      <c r="FA148" s="21"/>
      <c r="FB148" s="168">
        <v>21812</v>
      </c>
      <c r="FC148" s="168">
        <v>2</v>
      </c>
      <c r="FD148" s="168">
        <v>21812</v>
      </c>
      <c r="FE148" s="21"/>
      <c r="FF148" s="168">
        <v>78704405</v>
      </c>
      <c r="FG148" s="168">
        <v>73681592</v>
      </c>
      <c r="FH148" s="168">
        <v>78704405</v>
      </c>
      <c r="FI148" s="168">
        <v>-818598</v>
      </c>
      <c r="FJ148" s="168">
        <v>1212822</v>
      </c>
      <c r="FK148" s="21"/>
      <c r="FL148" s="21"/>
      <c r="FM148" s="21"/>
      <c r="FN148" s="21"/>
      <c r="FO148" s="21"/>
      <c r="FP148" s="21"/>
      <c r="FQ148" s="21"/>
      <c r="FR148" s="168">
        <v>-936893</v>
      </c>
      <c r="FS148" s="21"/>
      <c r="FT148" s="21"/>
      <c r="FU148" s="21"/>
      <c r="FV148" s="21"/>
      <c r="FW148" s="168">
        <v>-9927454</v>
      </c>
      <c r="FX148" s="168">
        <v>-12580999</v>
      </c>
      <c r="FY148" s="168">
        <v>626782</v>
      </c>
      <c r="FZ148" s="168">
        <v>463238</v>
      </c>
      <c r="GA148" s="21"/>
      <c r="GB148" s="21"/>
      <c r="GC148" s="21"/>
      <c r="GD148" s="21"/>
      <c r="GE148" s="21"/>
      <c r="GF148" s="21"/>
      <c r="GG148" s="21"/>
      <c r="GH148" s="21"/>
      <c r="GI148" s="21"/>
      <c r="GJ148" s="21"/>
      <c r="GK148" s="21"/>
      <c r="GL148" s="21"/>
      <c r="GM148" s="168">
        <v>21079069</v>
      </c>
      <c r="GN148" s="168">
        <v>20314341</v>
      </c>
      <c r="GO148" s="168">
        <v>21878362</v>
      </c>
      <c r="GP148" s="168">
        <v>21251234</v>
      </c>
      <c r="GQ148" s="21"/>
      <c r="GR148" s="21"/>
      <c r="GS148" s="168">
        <v>20452287</v>
      </c>
      <c r="GT148" s="168">
        <v>19851103</v>
      </c>
      <c r="GU148" s="168">
        <v>1734170</v>
      </c>
      <c r="GV148" s="168">
        <v>3497224</v>
      </c>
      <c r="GW148" s="168">
        <v>915572</v>
      </c>
      <c r="GX148" s="168">
        <v>4710046</v>
      </c>
      <c r="GY148" s="21"/>
      <c r="GZ148" s="21"/>
      <c r="HA148" s="21"/>
      <c r="HB148" s="21"/>
      <c r="HC148" s="168">
        <v>31871635</v>
      </c>
      <c r="HD148" s="168">
        <v>29778031</v>
      </c>
      <c r="HE148" s="21"/>
      <c r="HF148" s="21"/>
      <c r="HG148" s="21"/>
      <c r="HH148" s="21"/>
      <c r="HI148" s="168">
        <v>7445408</v>
      </c>
      <c r="HJ148" s="168">
        <v>8280820</v>
      </c>
      <c r="HK148" s="21"/>
      <c r="HL148" s="21"/>
      <c r="HM148" s="21"/>
      <c r="HN148" s="21"/>
      <c r="HO148" s="21"/>
      <c r="HP148" s="21"/>
      <c r="HQ148" s="21"/>
      <c r="HR148" s="21"/>
      <c r="HS148" s="21"/>
      <c r="HT148" s="21"/>
      <c r="HU148" s="21"/>
      <c r="HV148" s="21"/>
      <c r="HW148" s="21"/>
      <c r="HX148" s="21"/>
      <c r="HY148" s="21"/>
      <c r="HZ148" s="21"/>
      <c r="IA148" s="21"/>
      <c r="IB148" s="21"/>
      <c r="IC148" s="21"/>
      <c r="ID148" s="21"/>
      <c r="IE148" s="168">
        <v>6530050</v>
      </c>
      <c r="IF148" s="168">
        <v>6707667</v>
      </c>
      <c r="IG148" s="21"/>
      <c r="IH148" s="21"/>
      <c r="II148" s="21"/>
      <c r="IJ148" s="21"/>
      <c r="IK148" s="21"/>
      <c r="IL148" s="21"/>
      <c r="IM148" s="21"/>
      <c r="IN148" s="21"/>
      <c r="IO148" s="21"/>
      <c r="IP148" s="21"/>
      <c r="IQ148" s="21"/>
      <c r="IR148" s="21"/>
      <c r="IS148" s="21"/>
      <c r="IT148" s="21"/>
      <c r="IU148" s="168">
        <v>32624415</v>
      </c>
      <c r="IV148" s="168">
        <v>32619412</v>
      </c>
      <c r="IW148" s="168">
        <v>33062660</v>
      </c>
      <c r="IX148" s="168">
        <v>33129714</v>
      </c>
      <c r="IY148" s="168">
        <v>-438245</v>
      </c>
      <c r="IZ148" s="168">
        <v>-510302</v>
      </c>
      <c r="JA148" s="21"/>
      <c r="JB148" s="21"/>
      <c r="JC148" s="21"/>
      <c r="JD148" s="21"/>
      <c r="JE148" s="21"/>
      <c r="JF148" s="21"/>
      <c r="JG148" s="21"/>
      <c r="JH148" s="21"/>
      <c r="JI148" s="168">
        <v>171727470</v>
      </c>
      <c r="JJ148" s="168">
        <v>158687786</v>
      </c>
      <c r="JK148" s="168">
        <v>2447725</v>
      </c>
      <c r="JL148" s="168">
        <v>1796793</v>
      </c>
      <c r="JM148" s="168">
        <v>204790130</v>
      </c>
      <c r="JN148" s="168">
        <v>191817500</v>
      </c>
      <c r="JO148" s="168">
        <v>2009480</v>
      </c>
      <c r="JP148" s="168">
        <v>1286491</v>
      </c>
      <c r="JQ148" s="21"/>
      <c r="JR148" s="21"/>
      <c r="JS148" s="21"/>
      <c r="JT148" s="21"/>
      <c r="JU148" s="21"/>
      <c r="JV148" s="21"/>
      <c r="JW148" s="168">
        <v>197344721</v>
      </c>
      <c r="JX148" s="168">
        <v>183536680</v>
      </c>
      <c r="JY148" s="21"/>
      <c r="JZ148" s="21"/>
      <c r="KA148" s="21"/>
      <c r="KB148" s="21"/>
      <c r="KC148" s="21"/>
      <c r="KD148" s="21"/>
      <c r="KE148" s="21"/>
      <c r="KF148" s="21"/>
      <c r="KG148" s="21"/>
      <c r="KH148" s="21"/>
      <c r="KI148" s="21"/>
      <c r="KJ148" s="21"/>
      <c r="KK148" s="168">
        <v>-79</v>
      </c>
      <c r="KL148" s="21"/>
      <c r="KM148" s="21"/>
      <c r="KN148" s="21"/>
      <c r="KO148" s="21"/>
      <c r="KP148" s="21"/>
      <c r="KQ148" s="21"/>
      <c r="KR148" s="21"/>
      <c r="KS148" s="21"/>
      <c r="KT148" s="21"/>
      <c r="KU148" s="21"/>
      <c r="KV148" s="21"/>
      <c r="KW148" s="21"/>
      <c r="KX148" s="21"/>
      <c r="KY148" s="21"/>
      <c r="KZ148" s="21"/>
      <c r="LA148" s="168">
        <v>244909</v>
      </c>
      <c r="LB148" s="168">
        <v>244909</v>
      </c>
      <c r="LC148" s="21"/>
      <c r="LD148" s="21"/>
      <c r="LE148" s="21"/>
      <c r="LF148" s="21"/>
      <c r="LG148" s="21"/>
      <c r="LH148" s="21"/>
      <c r="LI148" s="21"/>
      <c r="LJ148" s="21"/>
      <c r="LK148" s="168">
        <v>38029872</v>
      </c>
      <c r="LL148" s="168">
        <v>45398748</v>
      </c>
      <c r="LM148" s="21"/>
      <c r="LN148" s="21"/>
      <c r="LO148" s="21"/>
      <c r="LP148" s="21"/>
      <c r="LQ148" s="21"/>
      <c r="LR148" s="21"/>
      <c r="LS148" s="21"/>
      <c r="LT148" s="21"/>
      <c r="LU148" s="21"/>
      <c r="LV148" s="21"/>
      <c r="LW148" s="21"/>
      <c r="LX148" s="21"/>
      <c r="LY148" s="21"/>
      <c r="LZ148" s="21"/>
      <c r="MA148" s="21"/>
      <c r="MB148" s="21"/>
      <c r="MC148" s="168">
        <v>116248778</v>
      </c>
      <c r="MD148" s="168">
        <v>109684040</v>
      </c>
      <c r="ME148" s="21"/>
      <c r="MF148" s="21"/>
      <c r="MG148" s="21"/>
      <c r="MH148" s="21"/>
      <c r="MI148" s="168">
        <v>6633621</v>
      </c>
      <c r="MJ148" s="168">
        <v>6633621</v>
      </c>
      <c r="MK148" s="21"/>
      <c r="ML148" s="21"/>
      <c r="MM148" s="168">
        <v>20096285</v>
      </c>
      <c r="MN148" s="168">
        <v>19539306</v>
      </c>
      <c r="MO148" s="21"/>
      <c r="MP148" s="21"/>
      <c r="MQ148" s="168">
        <v>1502975</v>
      </c>
      <c r="MR148" s="168">
        <v>345736</v>
      </c>
      <c r="MS148" s="21"/>
      <c r="MT148" s="21"/>
      <c r="MU148" s="21"/>
      <c r="MV148" s="21"/>
      <c r="MW148" s="21"/>
      <c r="MX148" s="21"/>
      <c r="MY148" s="21"/>
      <c r="MZ148" s="21"/>
      <c r="NA148" s="21"/>
      <c r="NB148" s="21"/>
      <c r="NC148" s="168">
        <v>20452287</v>
      </c>
      <c r="ND148" s="168">
        <v>19851103</v>
      </c>
      <c r="NE148" s="21"/>
      <c r="NF148" s="21"/>
      <c r="NG148" s="168">
        <v>221061897</v>
      </c>
      <c r="NH148" s="168">
        <v>200125814</v>
      </c>
      <c r="NI148" s="21"/>
      <c r="NJ148" s="21"/>
      <c r="NK148" s="168">
        <v>4645056</v>
      </c>
      <c r="NL148" s="168">
        <v>4833359</v>
      </c>
      <c r="NM148" s="168">
        <v>201947317</v>
      </c>
      <c r="NN148" s="168">
        <v>202589182</v>
      </c>
      <c r="NO148" s="168">
        <v>429157166</v>
      </c>
      <c r="NP148" s="168">
        <v>408894090</v>
      </c>
      <c r="NQ148" s="168" t="s">
        <v>1114</v>
      </c>
      <c r="NR148" s="168" t="s">
        <v>797</v>
      </c>
      <c r="NS148" s="168" t="s">
        <v>770</v>
      </c>
      <c r="NT148" s="168" t="s">
        <v>771</v>
      </c>
      <c r="NU148" s="168">
        <v>1704</v>
      </c>
      <c r="NV148" s="168" t="s">
        <v>2104</v>
      </c>
      <c r="NW148" s="168" t="s">
        <v>28</v>
      </c>
      <c r="NX148" s="168" t="s">
        <v>25</v>
      </c>
      <c r="NY148" s="169">
        <v>42825</v>
      </c>
      <c r="NZ148" s="169">
        <v>42460</v>
      </c>
      <c r="OA148" s="169">
        <v>43062</v>
      </c>
      <c r="OB148" s="168" t="s">
        <v>1115</v>
      </c>
      <c r="OC148" s="168">
        <v>12</v>
      </c>
      <c r="OD148" s="168" t="s">
        <v>2106</v>
      </c>
      <c r="OE148" s="168" t="s">
        <v>2301</v>
      </c>
      <c r="OF148" s="168" t="s">
        <v>2302</v>
      </c>
      <c r="OG148" s="168" t="s">
        <v>1884</v>
      </c>
      <c r="OH148" s="168" t="s">
        <v>824</v>
      </c>
      <c r="OI148" s="168" t="s">
        <v>766</v>
      </c>
      <c r="OJ148" s="168" t="s">
        <v>3240</v>
      </c>
      <c r="OK148" s="168" t="s">
        <v>796</v>
      </c>
    </row>
    <row r="149" spans="1:401" x14ac:dyDescent="0.2">
      <c r="A149" s="170" t="str">
        <f>Liste[[#This Row],[Siren]]</f>
        <v>417970233</v>
      </c>
      <c r="B149" s="198" t="str">
        <f>Liste[[#This Row],[Dénomination]]&amp;" - comptes "&amp;YEAR(Liste[[#This Row],[Date de cloture de l''exercice]])</f>
        <v>SPH HOLDING - comptes 2017</v>
      </c>
      <c r="C149" s="21"/>
      <c r="D149" s="21"/>
      <c r="E149" s="21"/>
      <c r="F149" s="168">
        <v>3674202</v>
      </c>
      <c r="G149" s="168">
        <v>3826256</v>
      </c>
      <c r="H149" s="168">
        <v>3674202</v>
      </c>
      <c r="I149" s="168">
        <v>665019</v>
      </c>
      <c r="J149" s="168">
        <v>1966174</v>
      </c>
      <c r="K149" s="168">
        <v>2119988</v>
      </c>
      <c r="L149" s="168">
        <v>2631193</v>
      </c>
      <c r="M149" s="21"/>
      <c r="N149" s="168">
        <v>62500</v>
      </c>
      <c r="O149" s="168">
        <v>62500</v>
      </c>
      <c r="P149" s="168">
        <v>62500</v>
      </c>
      <c r="Q149" s="21"/>
      <c r="R149" s="168">
        <v>11434</v>
      </c>
      <c r="S149" s="168">
        <v>11434</v>
      </c>
      <c r="T149" s="168">
        <v>11434</v>
      </c>
      <c r="U149" s="21"/>
      <c r="V149" s="21"/>
      <c r="W149" s="21"/>
      <c r="X149" s="21"/>
      <c r="Y149" s="21"/>
      <c r="Z149" s="168">
        <v>519373</v>
      </c>
      <c r="AA149" s="168">
        <v>511843</v>
      </c>
      <c r="AB149" s="168">
        <v>519373</v>
      </c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168">
        <v>182671</v>
      </c>
      <c r="BA149" s="168">
        <v>183276</v>
      </c>
      <c r="BB149" s="168">
        <v>182671</v>
      </c>
      <c r="BC149" s="168">
        <v>21894</v>
      </c>
      <c r="BD149" s="168">
        <v>1946676</v>
      </c>
      <c r="BE149" s="168">
        <v>1853543</v>
      </c>
      <c r="BF149" s="168">
        <v>1968570</v>
      </c>
      <c r="BG149" s="168">
        <v>60749</v>
      </c>
      <c r="BH149" s="168">
        <v>13077</v>
      </c>
      <c r="BI149" s="168">
        <v>10433</v>
      </c>
      <c r="BJ149" s="168">
        <v>73826</v>
      </c>
      <c r="BK149" s="168">
        <v>7121132</v>
      </c>
      <c r="BL149" s="168">
        <v>29707060</v>
      </c>
      <c r="BM149" s="168">
        <v>20738291</v>
      </c>
      <c r="BN149" s="168">
        <v>36828192</v>
      </c>
      <c r="BO149" s="21"/>
      <c r="BP149" s="21"/>
      <c r="BQ149" s="21"/>
      <c r="BR149" s="21"/>
      <c r="BS149" s="21"/>
      <c r="BT149" s="21"/>
      <c r="BU149" s="21"/>
      <c r="BV149" s="21"/>
      <c r="BW149" s="21"/>
      <c r="BX149" s="168">
        <v>601174</v>
      </c>
      <c r="BY149" s="168">
        <v>455660</v>
      </c>
      <c r="BZ149" s="168">
        <v>601174</v>
      </c>
      <c r="CA149" s="21"/>
      <c r="CB149" s="21"/>
      <c r="CC149" s="21"/>
      <c r="CD149" s="168">
        <v>249132</v>
      </c>
      <c r="CE149" s="168">
        <v>1257026</v>
      </c>
      <c r="CF149" s="168">
        <v>26226</v>
      </c>
      <c r="CG149" s="168">
        <v>1506158</v>
      </c>
      <c r="CH149" s="21"/>
      <c r="CI149" s="21"/>
      <c r="CJ149" s="21"/>
      <c r="CK149" s="21"/>
      <c r="CL149" s="21"/>
      <c r="CM149" s="21"/>
      <c r="CN149" s="21"/>
      <c r="CO149" s="21"/>
      <c r="CP149" s="21"/>
      <c r="CQ149" s="168">
        <v>115861</v>
      </c>
      <c r="CR149" s="168">
        <v>1371070</v>
      </c>
      <c r="CS149" s="168">
        <v>115861</v>
      </c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168">
        <v>8385598</v>
      </c>
      <c r="DE149" s="21"/>
      <c r="DF149" s="168">
        <v>2832917</v>
      </c>
      <c r="DG149" s="168">
        <v>1385543</v>
      </c>
      <c r="DH149" s="168">
        <v>1345492</v>
      </c>
      <c r="DI149" s="168">
        <v>4218460</v>
      </c>
      <c r="DJ149" s="21"/>
      <c r="DK149" s="168">
        <v>4330028</v>
      </c>
      <c r="DL149" s="168">
        <v>4397338</v>
      </c>
      <c r="DM149" s="168">
        <v>4330028</v>
      </c>
      <c r="DN149" s="21"/>
      <c r="DO149" s="168">
        <v>18486</v>
      </c>
      <c r="DP149" s="168">
        <v>19669</v>
      </c>
      <c r="DQ149" s="168">
        <v>18486</v>
      </c>
      <c r="DR149" s="21"/>
      <c r="DS149" s="21"/>
      <c r="DT149" s="21"/>
      <c r="DU149" s="21"/>
      <c r="DV149" s="21"/>
      <c r="DW149" s="168">
        <v>12178</v>
      </c>
      <c r="DX149" s="168">
        <v>18927</v>
      </c>
      <c r="DY149" s="168">
        <v>12178</v>
      </c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168">
        <v>10969996</v>
      </c>
      <c r="EL149" s="168">
        <v>44347661</v>
      </c>
      <c r="EM149" s="168">
        <v>43899948</v>
      </c>
      <c r="EN149" s="168">
        <v>55317657</v>
      </c>
      <c r="EO149" s="168">
        <v>21894</v>
      </c>
      <c r="EP149" s="168">
        <v>10753455</v>
      </c>
      <c r="EQ149" s="168">
        <v>10802676</v>
      </c>
      <c r="ER149" s="168">
        <v>10775349</v>
      </c>
      <c r="ES149" s="168">
        <v>10991890</v>
      </c>
      <c r="ET149" s="168">
        <v>55101119</v>
      </c>
      <c r="EU149" s="168">
        <v>54702626</v>
      </c>
      <c r="EV149" s="168">
        <v>66093009</v>
      </c>
      <c r="EW149" s="168">
        <v>41047</v>
      </c>
      <c r="EX149" s="168">
        <v>9297435</v>
      </c>
      <c r="EY149" s="168">
        <v>9298146</v>
      </c>
      <c r="EZ149" s="168">
        <v>9338482</v>
      </c>
      <c r="FA149" s="21"/>
      <c r="FB149" s="21"/>
      <c r="FC149" s="21"/>
      <c r="FD149" s="21"/>
      <c r="FE149" s="21"/>
      <c r="FF149" s="168">
        <v>218</v>
      </c>
      <c r="FG149" s="168">
        <v>66934</v>
      </c>
      <c r="FH149" s="168">
        <v>218</v>
      </c>
      <c r="FI149" s="168">
        <v>305359</v>
      </c>
      <c r="FJ149" s="168">
        <v>-373218</v>
      </c>
      <c r="FK149" s="21"/>
      <c r="FL149" s="21"/>
      <c r="FM149" s="21"/>
      <c r="FN149" s="21"/>
      <c r="FO149" s="21"/>
      <c r="FP149" s="21"/>
      <c r="FQ149" s="21"/>
      <c r="FR149" s="21"/>
      <c r="FS149" s="21"/>
      <c r="FT149" s="21"/>
      <c r="FU149" s="168">
        <v>-25642</v>
      </c>
      <c r="FV149" s="168">
        <v>2850</v>
      </c>
      <c r="FW149" s="168">
        <v>888780</v>
      </c>
      <c r="FX149" s="168">
        <v>595314</v>
      </c>
      <c r="FY149" s="168">
        <v>99031</v>
      </c>
      <c r="FZ149" s="168">
        <v>60091</v>
      </c>
      <c r="GA149" s="21"/>
      <c r="GB149" s="21"/>
      <c r="GC149" s="21"/>
      <c r="GD149" s="21"/>
      <c r="GE149" s="21"/>
      <c r="GF149" s="21"/>
      <c r="GG149" s="21"/>
      <c r="GH149" s="21"/>
      <c r="GI149" s="21"/>
      <c r="GJ149" s="21"/>
      <c r="GK149" s="21"/>
      <c r="GL149" s="21"/>
      <c r="GM149" s="168">
        <v>2215240</v>
      </c>
      <c r="GN149" s="168">
        <v>1560</v>
      </c>
      <c r="GO149" s="168">
        <v>2228352</v>
      </c>
      <c r="GP149" s="168">
        <v>1573170</v>
      </c>
      <c r="GQ149" s="21"/>
      <c r="GR149" s="21"/>
      <c r="GS149" s="168">
        <v>2116209</v>
      </c>
      <c r="GT149" s="168">
        <v>1499967</v>
      </c>
      <c r="GU149" s="168">
        <v>78007</v>
      </c>
      <c r="GV149" s="168">
        <v>386958</v>
      </c>
      <c r="GW149" s="168">
        <v>383366</v>
      </c>
      <c r="GX149" s="168">
        <v>13740</v>
      </c>
      <c r="GY149" s="168">
        <v>45117893</v>
      </c>
      <c r="GZ149" s="168">
        <v>44193232</v>
      </c>
      <c r="HA149" s="21"/>
      <c r="HB149" s="21"/>
      <c r="HC149" s="168">
        <v>1575561</v>
      </c>
      <c r="HD149" s="168">
        <v>1421928</v>
      </c>
      <c r="HE149" s="21"/>
      <c r="HF149" s="21"/>
      <c r="HG149" s="21"/>
      <c r="HH149" s="21"/>
      <c r="HI149" s="21"/>
      <c r="HJ149" s="21"/>
      <c r="HK149" s="21"/>
      <c r="HL149" s="21"/>
      <c r="HM149" s="21"/>
      <c r="HN149" s="21"/>
      <c r="HO149" s="21"/>
      <c r="HP149" s="21"/>
      <c r="HQ149" s="21"/>
      <c r="HR149" s="21"/>
      <c r="HS149" s="21"/>
      <c r="HT149" s="21"/>
      <c r="HU149" s="168">
        <v>2097181</v>
      </c>
      <c r="HV149" s="168">
        <v>1829868</v>
      </c>
      <c r="HW149" s="168">
        <v>21894</v>
      </c>
      <c r="HX149" s="168">
        <v>77841</v>
      </c>
      <c r="HY149" s="21"/>
      <c r="HZ149" s="21"/>
      <c r="IA149" s="21"/>
      <c r="IB149" s="21"/>
      <c r="IC149" s="21"/>
      <c r="ID149" s="21"/>
      <c r="IE149" s="21"/>
      <c r="IF149" s="21"/>
      <c r="IG149" s="21"/>
      <c r="IH149" s="21"/>
      <c r="II149" s="21"/>
      <c r="IJ149" s="21"/>
      <c r="IK149" s="21"/>
      <c r="IL149" s="21"/>
      <c r="IM149" s="21"/>
      <c r="IN149" s="21"/>
      <c r="IO149" s="21"/>
      <c r="IP149" s="21"/>
      <c r="IQ149" s="21"/>
      <c r="IR149" s="21"/>
      <c r="IS149" s="21"/>
      <c r="IT149" s="21"/>
      <c r="IU149" s="168">
        <v>2786131</v>
      </c>
      <c r="IV149" s="168">
        <v>2544552</v>
      </c>
      <c r="IW149" s="168">
        <v>3041555</v>
      </c>
      <c r="IX149" s="168">
        <v>2845185</v>
      </c>
      <c r="IY149" s="168">
        <v>-255424</v>
      </c>
      <c r="IZ149" s="168">
        <v>-300633</v>
      </c>
      <c r="JA149" s="21"/>
      <c r="JB149" s="21"/>
      <c r="JC149" s="21"/>
      <c r="JD149" s="21"/>
      <c r="JE149" s="21"/>
      <c r="JF149" s="21"/>
      <c r="JG149" s="21"/>
      <c r="JH149" s="21"/>
      <c r="JI149" s="168">
        <v>12051132</v>
      </c>
      <c r="JJ149" s="168">
        <v>11373733</v>
      </c>
      <c r="JK149" s="168">
        <v>222870</v>
      </c>
      <c r="JL149" s="168">
        <v>264265</v>
      </c>
      <c r="JM149" s="168">
        <v>56209150</v>
      </c>
      <c r="JN149" s="168">
        <v>54706049</v>
      </c>
      <c r="JO149" s="168">
        <v>9053</v>
      </c>
      <c r="JP149" s="168">
        <v>8703</v>
      </c>
      <c r="JQ149" s="168">
        <v>4397338</v>
      </c>
      <c r="JR149" s="168">
        <v>4155465</v>
      </c>
      <c r="JS149" s="21"/>
      <c r="JT149" s="21"/>
      <c r="JU149" s="21"/>
      <c r="JV149" s="21"/>
      <c r="JW149" s="168">
        <v>56209150</v>
      </c>
      <c r="JX149" s="168">
        <v>54706049</v>
      </c>
      <c r="JY149" s="21"/>
      <c r="JZ149" s="21"/>
      <c r="KA149" s="21"/>
      <c r="KB149" s="21"/>
      <c r="KC149" s="21"/>
      <c r="KD149" s="21"/>
      <c r="KE149" s="21"/>
      <c r="KF149" s="21"/>
      <c r="KG149" s="21"/>
      <c r="KH149" s="21"/>
      <c r="KI149" s="168">
        <v>56572325</v>
      </c>
      <c r="KJ149" s="168">
        <v>55046567</v>
      </c>
      <c r="KK149" s="21"/>
      <c r="KL149" s="21"/>
      <c r="KM149" s="21"/>
      <c r="KN149" s="21"/>
      <c r="KO149" s="21"/>
      <c r="KP149" s="21"/>
      <c r="KQ149" s="168">
        <v>696022</v>
      </c>
      <c r="KR149" s="168">
        <v>465935</v>
      </c>
      <c r="KS149" s="21"/>
      <c r="KT149" s="21"/>
      <c r="KU149" s="168">
        <v>1950680</v>
      </c>
      <c r="KV149" s="168">
        <v>2134882</v>
      </c>
      <c r="KW149" s="21"/>
      <c r="KX149" s="21"/>
      <c r="KY149" s="168">
        <v>5455</v>
      </c>
      <c r="KZ149" s="168">
        <v>8718</v>
      </c>
      <c r="LA149" s="168">
        <v>40000</v>
      </c>
      <c r="LB149" s="168">
        <v>40000</v>
      </c>
      <c r="LC149" s="21"/>
      <c r="LD149" s="21"/>
      <c r="LE149" s="168">
        <v>99031</v>
      </c>
      <c r="LF149" s="168">
        <v>60091</v>
      </c>
      <c r="LG149" s="21"/>
      <c r="LH149" s="21"/>
      <c r="LI149" s="168">
        <v>2549379</v>
      </c>
      <c r="LJ149" s="168">
        <v>2320219</v>
      </c>
      <c r="LK149" s="168">
        <v>4265793</v>
      </c>
      <c r="LL149" s="168">
        <v>3806190</v>
      </c>
      <c r="LM149" s="168">
        <v>1255104</v>
      </c>
      <c r="LN149" s="168">
        <v>1468769</v>
      </c>
      <c r="LO149" s="21"/>
      <c r="LP149" s="21"/>
      <c r="LQ149" s="21"/>
      <c r="LR149" s="21"/>
      <c r="LS149" s="21"/>
      <c r="LT149" s="21"/>
      <c r="LU149" s="21"/>
      <c r="LV149" s="21"/>
      <c r="LW149" s="21"/>
      <c r="LX149" s="21"/>
      <c r="LY149" s="21"/>
      <c r="LZ149" s="21"/>
      <c r="MA149" s="168">
        <v>33550872</v>
      </c>
      <c r="MB149" s="168">
        <v>35424968</v>
      </c>
      <c r="MC149" s="168">
        <v>1752860</v>
      </c>
      <c r="MD149" s="168">
        <v>1836823</v>
      </c>
      <c r="ME149" s="21"/>
      <c r="MF149" s="21"/>
      <c r="MG149" s="168">
        <v>99965</v>
      </c>
      <c r="MH149" s="168">
        <v>99965</v>
      </c>
      <c r="MI149" s="21"/>
      <c r="MJ149" s="21"/>
      <c r="MK149" s="21"/>
      <c r="ML149" s="21"/>
      <c r="MM149" s="168">
        <v>436637</v>
      </c>
      <c r="MN149" s="168">
        <v>413738</v>
      </c>
      <c r="MO149" s="168">
        <v>92406</v>
      </c>
      <c r="MP149" s="168">
        <v>96838</v>
      </c>
      <c r="MQ149" s="21"/>
      <c r="MR149" s="168">
        <v>214629</v>
      </c>
      <c r="MS149" s="21"/>
      <c r="MT149" s="21"/>
      <c r="MU149" s="21"/>
      <c r="MV149" s="168">
        <v>424</v>
      </c>
      <c r="MW149" s="168">
        <v>4000</v>
      </c>
      <c r="MX149" s="168">
        <v>4000</v>
      </c>
      <c r="MY149" s="21"/>
      <c r="MZ149" s="21"/>
      <c r="NA149" s="21"/>
      <c r="NB149" s="21"/>
      <c r="NC149" s="168">
        <v>2116205</v>
      </c>
      <c r="ND149" s="168">
        <v>1499967</v>
      </c>
      <c r="NE149" s="21"/>
      <c r="NF149" s="21"/>
      <c r="NG149" s="168">
        <v>10087451</v>
      </c>
      <c r="NH149" s="168">
        <v>8321247</v>
      </c>
      <c r="NI149" s="21"/>
      <c r="NJ149" s="21"/>
      <c r="NK149" s="168">
        <v>309168</v>
      </c>
      <c r="NL149" s="168">
        <v>224586</v>
      </c>
      <c r="NM149" s="168">
        <v>44512122</v>
      </c>
      <c r="NN149" s="168">
        <v>45745360</v>
      </c>
      <c r="NO149" s="168">
        <v>55101119</v>
      </c>
      <c r="NP149" s="168">
        <v>54702626</v>
      </c>
      <c r="NQ149" s="168" t="s">
        <v>910</v>
      </c>
      <c r="NR149" s="168" t="s">
        <v>769</v>
      </c>
      <c r="NS149" s="168" t="s">
        <v>770</v>
      </c>
      <c r="NT149" s="168" t="s">
        <v>771</v>
      </c>
      <c r="NU149" s="168">
        <v>6901</v>
      </c>
      <c r="NV149" s="168" t="s">
        <v>2133</v>
      </c>
      <c r="NW149" s="168" t="s">
        <v>28</v>
      </c>
      <c r="NX149" s="168" t="s">
        <v>25</v>
      </c>
      <c r="NY149" s="169">
        <v>42825</v>
      </c>
      <c r="NZ149" s="169">
        <v>42460</v>
      </c>
      <c r="OA149" s="169">
        <v>43102</v>
      </c>
      <c r="OB149" s="168" t="s">
        <v>1356</v>
      </c>
      <c r="OC149" s="168">
        <v>12</v>
      </c>
      <c r="OD149" s="168" t="s">
        <v>2105</v>
      </c>
      <c r="OE149" s="168" t="s">
        <v>3284</v>
      </c>
      <c r="OF149" s="168" t="s">
        <v>2487</v>
      </c>
      <c r="OG149" s="168" t="s">
        <v>1983</v>
      </c>
      <c r="OH149" s="168" t="s">
        <v>819</v>
      </c>
      <c r="OI149" s="168" t="s">
        <v>825</v>
      </c>
      <c r="OJ149" s="168" t="s">
        <v>3242</v>
      </c>
      <c r="OK149" s="168" t="s">
        <v>767</v>
      </c>
    </row>
    <row r="150" spans="1:401" x14ac:dyDescent="0.2">
      <c r="A150" s="170" t="str">
        <f>Liste[[#This Row],[Siren]]</f>
        <v>389058447</v>
      </c>
      <c r="B150" s="198" t="str">
        <f>Liste[[#This Row],[Dénomination]]&amp;" - comptes "&amp;YEAR(Liste[[#This Row],[Date de cloture de l''exercice]])</f>
        <v>ALSTOM - comptes 2017</v>
      </c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168">
        <v>1693000000</v>
      </c>
      <c r="BE150" s="168">
        <v>1613000000</v>
      </c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168">
        <v>1513000000</v>
      </c>
      <c r="CF150" s="168">
        <v>1366000000</v>
      </c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168">
        <v>5972000000</v>
      </c>
      <c r="EM150" s="168">
        <v>5677000000</v>
      </c>
      <c r="EN150" s="21"/>
      <c r="EO150" s="21"/>
      <c r="EP150" s="168">
        <v>8379000000</v>
      </c>
      <c r="EQ150" s="168">
        <v>7904000000</v>
      </c>
      <c r="ER150" s="21"/>
      <c r="ES150" s="21"/>
      <c r="ET150" s="168">
        <v>14361000000</v>
      </c>
      <c r="EU150" s="168">
        <v>13622000000</v>
      </c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  <c r="FQ150" s="21"/>
      <c r="FR150" s="21"/>
      <c r="FS150" s="21"/>
      <c r="FT150" s="21"/>
      <c r="FU150" s="21"/>
      <c r="FV150" s="21"/>
      <c r="FW150" s="168">
        <v>-76000000</v>
      </c>
      <c r="FX150" s="168">
        <v>-597000000</v>
      </c>
      <c r="FY150" s="21"/>
      <c r="FZ150" s="21"/>
      <c r="GA150" s="21"/>
      <c r="GB150" s="21"/>
      <c r="GC150" s="21"/>
      <c r="GD150" s="21"/>
      <c r="GE150" s="21"/>
      <c r="GF150" s="21"/>
      <c r="GG150" s="21"/>
      <c r="GH150" s="21"/>
      <c r="GI150" s="21"/>
      <c r="GJ150" s="21"/>
      <c r="GK150" s="21"/>
      <c r="GL150" s="21"/>
      <c r="GM150" s="168">
        <v>303000000</v>
      </c>
      <c r="GN150" s="168">
        <v>3011000000</v>
      </c>
      <c r="GO150" s="21"/>
      <c r="GP150" s="21"/>
      <c r="GQ150" s="21"/>
      <c r="GR150" s="21"/>
      <c r="GS150" s="21"/>
      <c r="GT150" s="21"/>
      <c r="GU150" s="21"/>
      <c r="GV150" s="21"/>
      <c r="GW150" s="21"/>
      <c r="GX150" s="21"/>
      <c r="GY150" s="21"/>
      <c r="GZ150" s="21"/>
      <c r="HA150" s="21"/>
      <c r="HB150" s="21"/>
      <c r="HC150" s="21"/>
      <c r="HD150" s="21"/>
      <c r="HE150" s="21"/>
      <c r="HF150" s="21"/>
      <c r="HG150" s="21"/>
      <c r="HH150" s="21"/>
      <c r="HI150" s="168">
        <v>-63000000</v>
      </c>
      <c r="HJ150" s="168">
        <v>-592000000</v>
      </c>
      <c r="HK150" s="21"/>
      <c r="HL150" s="21"/>
      <c r="HM150" s="21"/>
      <c r="HN150" s="21"/>
      <c r="HO150" s="21"/>
      <c r="HP150" s="21"/>
      <c r="HQ150" s="21"/>
      <c r="HR150" s="21"/>
      <c r="HS150" s="21"/>
      <c r="HT150" s="21"/>
      <c r="HU150" s="21"/>
      <c r="HV150" s="21"/>
      <c r="HW150" s="21"/>
      <c r="HX150" s="21"/>
      <c r="HY150" s="21"/>
      <c r="HZ150" s="21"/>
      <c r="IA150" s="21"/>
      <c r="IB150" s="21"/>
      <c r="IC150" s="21"/>
      <c r="ID150" s="21"/>
      <c r="IE150" s="21"/>
      <c r="IF150" s="21"/>
      <c r="IG150" s="21"/>
      <c r="IH150" s="21"/>
      <c r="II150" s="21"/>
      <c r="IJ150" s="21"/>
      <c r="IK150" s="21"/>
      <c r="IL150" s="21"/>
      <c r="IM150" s="21"/>
      <c r="IN150" s="21"/>
      <c r="IO150" s="21"/>
      <c r="IP150" s="21"/>
      <c r="IQ150" s="21"/>
      <c r="IR150" s="21"/>
      <c r="IS150" s="21"/>
      <c r="IT150" s="21"/>
      <c r="IU150" s="168">
        <v>231000000</v>
      </c>
      <c r="IV150" s="168">
        <v>-501000000</v>
      </c>
      <c r="IW150" s="168">
        <v>358000000</v>
      </c>
      <c r="IX150" s="168">
        <v>-226000000</v>
      </c>
      <c r="IY150" s="21"/>
      <c r="IZ150" s="21"/>
      <c r="JA150" s="21"/>
      <c r="JB150" s="21"/>
      <c r="JC150" s="21"/>
      <c r="JD150" s="21"/>
      <c r="JE150" s="21"/>
      <c r="JF150" s="21"/>
      <c r="JG150" s="21"/>
      <c r="JH150" s="21"/>
      <c r="JI150" s="21"/>
      <c r="JJ150" s="21"/>
      <c r="JK150" s="168">
        <v>-138000000</v>
      </c>
      <c r="JL150" s="168">
        <v>-348000000</v>
      </c>
      <c r="JM150" s="21"/>
      <c r="JN150" s="21"/>
      <c r="JO150" s="168">
        <v>11000000</v>
      </c>
      <c r="JP150" s="168">
        <v>73000000</v>
      </c>
      <c r="JQ150" s="21"/>
      <c r="JR150" s="21"/>
      <c r="JS150" s="21"/>
      <c r="JT150" s="21"/>
      <c r="JU150" s="21"/>
      <c r="JV150" s="21"/>
      <c r="JW150" s="168">
        <v>7306000000</v>
      </c>
      <c r="JX150" s="168">
        <v>6881000000</v>
      </c>
      <c r="JY150" s="21"/>
      <c r="JZ150" s="21"/>
      <c r="KA150" s="21"/>
      <c r="KB150" s="21"/>
      <c r="KC150" s="21"/>
      <c r="KD150" s="21"/>
      <c r="KE150" s="21"/>
      <c r="KF150" s="21"/>
      <c r="KG150" s="21"/>
      <c r="KH150" s="21"/>
      <c r="KI150" s="21"/>
      <c r="KJ150" s="21"/>
      <c r="KK150" s="21"/>
      <c r="KL150" s="21"/>
      <c r="KM150" s="21"/>
      <c r="KN150" s="21"/>
      <c r="KO150" s="21"/>
      <c r="KP150" s="21"/>
      <c r="KQ150" s="21"/>
      <c r="KR150" s="21"/>
      <c r="KS150" s="21"/>
      <c r="KT150" s="21"/>
      <c r="KU150" s="21"/>
      <c r="KV150" s="21"/>
      <c r="KW150" s="21"/>
      <c r="KX150" s="21"/>
      <c r="KY150" s="21"/>
      <c r="KZ150" s="21"/>
      <c r="LA150" s="21"/>
      <c r="LB150" s="21"/>
      <c r="LC150" s="21"/>
      <c r="LD150" s="21"/>
      <c r="LE150" s="21"/>
      <c r="LF150" s="21"/>
      <c r="LG150" s="21"/>
      <c r="LH150" s="21"/>
      <c r="LI150" s="21"/>
      <c r="LJ150" s="21"/>
      <c r="LK150" s="168">
        <v>1029000000</v>
      </c>
      <c r="LL150" s="168">
        <v>1133000000</v>
      </c>
      <c r="LM150" s="21"/>
      <c r="LN150" s="21"/>
      <c r="LO150" s="21"/>
      <c r="LP150" s="21"/>
      <c r="LQ150" s="21"/>
      <c r="LR150" s="21"/>
      <c r="LS150" s="21"/>
      <c r="LT150" s="21"/>
      <c r="LU150" s="21"/>
      <c r="LV150" s="21"/>
      <c r="LW150" s="21"/>
      <c r="LX150" s="21"/>
      <c r="LY150" s="21"/>
      <c r="LZ150" s="21"/>
      <c r="MA150" s="21"/>
      <c r="MB150" s="21"/>
      <c r="MC150" s="21"/>
      <c r="MD150" s="21"/>
      <c r="ME150" s="21"/>
      <c r="MF150" s="21"/>
      <c r="MG150" s="168">
        <v>23000000</v>
      </c>
      <c r="MH150" s="168">
        <v>52000000</v>
      </c>
      <c r="MI150" s="21"/>
      <c r="MJ150" s="21"/>
      <c r="MK150" s="21"/>
      <c r="ML150" s="21"/>
      <c r="MM150" s="21"/>
      <c r="MN150" s="21"/>
      <c r="MO150" s="21"/>
      <c r="MP150" s="21"/>
      <c r="MQ150" s="21"/>
      <c r="MR150" s="21"/>
      <c r="MS150" s="21"/>
      <c r="MT150" s="21"/>
      <c r="MU150" s="21"/>
      <c r="MV150" s="21"/>
      <c r="MW150" s="21"/>
      <c r="MX150" s="21"/>
      <c r="MY150" s="21"/>
      <c r="MZ150" s="21"/>
      <c r="NA150" s="21"/>
      <c r="NB150" s="21"/>
      <c r="NC150" s="21"/>
      <c r="ND150" s="21"/>
      <c r="NE150" s="21"/>
      <c r="NF150" s="21"/>
      <c r="NG150" s="168">
        <v>3713000000</v>
      </c>
      <c r="NH150" s="168">
        <v>3328000000</v>
      </c>
      <c r="NI150" s="21"/>
      <c r="NJ150" s="21"/>
      <c r="NK150" s="21"/>
      <c r="NL150" s="21"/>
      <c r="NM150" s="21"/>
      <c r="NN150" s="21"/>
      <c r="NO150" s="168">
        <v>14361000000</v>
      </c>
      <c r="NP150" s="168">
        <v>13622000000</v>
      </c>
      <c r="NQ150" s="168" t="s">
        <v>961</v>
      </c>
      <c r="NR150" s="168" t="s">
        <v>958</v>
      </c>
      <c r="NS150" s="168" t="s">
        <v>770</v>
      </c>
      <c r="NT150" s="168" t="s">
        <v>771</v>
      </c>
      <c r="NU150" s="168">
        <v>9301</v>
      </c>
      <c r="NV150" s="168" t="s">
        <v>2104</v>
      </c>
      <c r="NW150" s="168" t="s">
        <v>28</v>
      </c>
      <c r="NX150" s="168" t="s">
        <v>25</v>
      </c>
      <c r="NY150" s="169">
        <v>42825</v>
      </c>
      <c r="NZ150" s="169">
        <v>42460</v>
      </c>
      <c r="OA150" s="169">
        <v>42942</v>
      </c>
      <c r="OB150" s="168" t="s">
        <v>1574</v>
      </c>
      <c r="OC150" s="168">
        <v>12</v>
      </c>
      <c r="OD150" s="168" t="s">
        <v>2105</v>
      </c>
      <c r="OE150" s="168" t="s">
        <v>2206</v>
      </c>
      <c r="OF150" s="168" t="s">
        <v>2650</v>
      </c>
      <c r="OG150" s="168" t="s">
        <v>2096</v>
      </c>
      <c r="OH150" s="168" t="s">
        <v>785</v>
      </c>
      <c r="OI150" s="168" t="s">
        <v>766</v>
      </c>
      <c r="OJ150" s="168" t="s">
        <v>3240</v>
      </c>
      <c r="OK150" s="168" t="s">
        <v>957</v>
      </c>
    </row>
    <row r="151" spans="1:401" x14ac:dyDescent="0.2">
      <c r="A151" s="170" t="str">
        <f>Liste[[#This Row],[Siren]]</f>
        <v>380816892</v>
      </c>
      <c r="B151" s="198" t="str">
        <f>Liste[[#This Row],[Dénomination]]&amp;" - comptes "&amp;YEAR(Liste[[#This Row],[Date de cloture de l''exercice]])</f>
        <v>FINANCIERE PALIDIS - comptes 2017</v>
      </c>
      <c r="C151" s="21"/>
      <c r="D151" s="21"/>
      <c r="E151" s="168">
        <v>38748</v>
      </c>
      <c r="F151" s="168">
        <v>8249869</v>
      </c>
      <c r="G151" s="168">
        <v>7761752</v>
      </c>
      <c r="H151" s="168">
        <v>8288835</v>
      </c>
      <c r="I151" s="168">
        <v>20138583</v>
      </c>
      <c r="J151" s="168">
        <v>6251158</v>
      </c>
      <c r="K151" s="168">
        <v>6761210</v>
      </c>
      <c r="L151" s="168">
        <v>26389741</v>
      </c>
      <c r="M151" s="21"/>
      <c r="N151" s="168">
        <v>865797</v>
      </c>
      <c r="O151" s="168">
        <v>856856</v>
      </c>
      <c r="P151" s="168">
        <v>865797</v>
      </c>
      <c r="Q151" s="21"/>
      <c r="R151" s="21"/>
      <c r="S151" s="21"/>
      <c r="T151" s="21"/>
      <c r="U151" s="21"/>
      <c r="V151" s="21"/>
      <c r="W151" s="21"/>
      <c r="X151" s="21"/>
      <c r="Y151" s="21"/>
      <c r="Z151" s="168">
        <v>26000</v>
      </c>
      <c r="AA151" s="168">
        <v>6000</v>
      </c>
      <c r="AB151" s="168">
        <v>26000</v>
      </c>
      <c r="AC151" s="21"/>
      <c r="AD151" s="21"/>
      <c r="AE151" s="21"/>
      <c r="AF151" s="21"/>
      <c r="AG151" s="21"/>
      <c r="AH151" s="21"/>
      <c r="AI151" s="21"/>
      <c r="AJ151" s="21"/>
      <c r="AK151" s="21"/>
      <c r="AL151" s="168">
        <v>6859</v>
      </c>
      <c r="AM151" s="168">
        <v>6389</v>
      </c>
      <c r="AN151" s="168">
        <v>6859</v>
      </c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168">
        <v>136854</v>
      </c>
      <c r="BD151" s="168">
        <v>1141900</v>
      </c>
      <c r="BE151" s="168">
        <v>1172995</v>
      </c>
      <c r="BF151" s="168">
        <v>1278754</v>
      </c>
      <c r="BG151" s="21"/>
      <c r="BH151" s="21"/>
      <c r="BI151" s="21"/>
      <c r="BJ151" s="21"/>
      <c r="BK151" s="168">
        <v>13026554</v>
      </c>
      <c r="BL151" s="168">
        <v>488822</v>
      </c>
      <c r="BM151" s="168">
        <v>611065</v>
      </c>
      <c r="BN151" s="168">
        <v>13515376</v>
      </c>
      <c r="BO151" s="21"/>
      <c r="BP151" s="21"/>
      <c r="BQ151" s="21"/>
      <c r="BR151" s="21"/>
      <c r="BS151" s="21"/>
      <c r="BT151" s="21"/>
      <c r="BU151" s="21"/>
      <c r="BV151" s="21"/>
      <c r="BW151" s="21"/>
      <c r="BX151" s="168">
        <v>5037978</v>
      </c>
      <c r="BY151" s="168">
        <v>3058884</v>
      </c>
      <c r="BZ151" s="168">
        <v>5037978</v>
      </c>
      <c r="CA151" s="21"/>
      <c r="CB151" s="21"/>
      <c r="CC151" s="21"/>
      <c r="CD151" s="168">
        <v>5567361</v>
      </c>
      <c r="CE151" s="21"/>
      <c r="CF151" s="168">
        <v>27</v>
      </c>
      <c r="CG151" s="168">
        <v>5567361</v>
      </c>
      <c r="CH151" s="21"/>
      <c r="CI151" s="21"/>
      <c r="CJ151" s="21"/>
      <c r="CK151" s="21"/>
      <c r="CL151" s="21"/>
      <c r="CM151" s="21"/>
      <c r="CN151" s="21"/>
      <c r="CO151" s="21"/>
      <c r="CP151" s="168">
        <v>896806</v>
      </c>
      <c r="CQ151" s="168">
        <v>3485097</v>
      </c>
      <c r="CR151" s="168">
        <v>3485097</v>
      </c>
      <c r="CS151" s="168">
        <v>4381903</v>
      </c>
      <c r="CT151" s="21"/>
      <c r="CU151" s="21"/>
      <c r="CV151" s="21"/>
      <c r="CW151" s="21"/>
      <c r="CX151" s="21"/>
      <c r="CY151" s="21"/>
      <c r="CZ151" s="21"/>
      <c r="DA151" s="21"/>
      <c r="DB151" s="21"/>
      <c r="DC151" s="168">
        <v>64733</v>
      </c>
      <c r="DD151" s="168">
        <v>60876</v>
      </c>
      <c r="DE151" s="168">
        <v>64733</v>
      </c>
      <c r="DF151" s="168">
        <v>1347066</v>
      </c>
      <c r="DG151" s="168">
        <v>325380</v>
      </c>
      <c r="DH151" s="168">
        <v>345428</v>
      </c>
      <c r="DI151" s="168">
        <v>1672446</v>
      </c>
      <c r="DJ151" s="168">
        <v>997729</v>
      </c>
      <c r="DK151" s="168">
        <v>21164353</v>
      </c>
      <c r="DL151" s="168">
        <v>21292627</v>
      </c>
      <c r="DM151" s="168">
        <v>22182081</v>
      </c>
      <c r="DN151" s="21"/>
      <c r="DO151" s="168">
        <v>47888</v>
      </c>
      <c r="DP151" s="168">
        <v>46088</v>
      </c>
      <c r="DQ151" s="168">
        <v>47888</v>
      </c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168">
        <v>42602942</v>
      </c>
      <c r="EL151" s="168">
        <v>12655474</v>
      </c>
      <c r="EM151" s="168">
        <v>13172466</v>
      </c>
      <c r="EN151" s="168">
        <v>55258415</v>
      </c>
      <c r="EO151" s="168">
        <v>1173328</v>
      </c>
      <c r="EP151" s="168">
        <v>35648666</v>
      </c>
      <c r="EQ151" s="168">
        <v>33336733</v>
      </c>
      <c r="ER151" s="168">
        <v>36821995</v>
      </c>
      <c r="ES151" s="168">
        <v>43776270</v>
      </c>
      <c r="ET151" s="168">
        <v>46304140</v>
      </c>
      <c r="EU151" s="168">
        <v>46509201</v>
      </c>
      <c r="EV151" s="168">
        <v>92060410</v>
      </c>
      <c r="EW151" s="21"/>
      <c r="EX151" s="168">
        <v>577866</v>
      </c>
      <c r="EY151" s="168">
        <v>577866</v>
      </c>
      <c r="EZ151" s="168">
        <v>577866</v>
      </c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  <c r="FQ151" s="21"/>
      <c r="FR151" s="21"/>
      <c r="FS151" s="21"/>
      <c r="FT151" s="21"/>
      <c r="FU151" s="21"/>
      <c r="FV151" s="21"/>
      <c r="FW151" s="168">
        <v>-111543</v>
      </c>
      <c r="FX151" s="168">
        <v>77170</v>
      </c>
      <c r="FY151" s="168">
        <v>-88</v>
      </c>
      <c r="FZ151" s="168">
        <v>-51</v>
      </c>
      <c r="GA151" s="21"/>
      <c r="GB151" s="21"/>
      <c r="GC151" s="21"/>
      <c r="GD151" s="21"/>
      <c r="GE151" s="21"/>
      <c r="GF151" s="21"/>
      <c r="GG151" s="21"/>
      <c r="GH151" s="21"/>
      <c r="GI151" s="21"/>
      <c r="GJ151" s="21"/>
      <c r="GK151" s="21"/>
      <c r="GL151" s="21"/>
      <c r="GM151" s="21"/>
      <c r="GN151" s="21"/>
      <c r="GO151" s="21"/>
      <c r="GP151" s="21"/>
      <c r="GQ151" s="21"/>
      <c r="GR151" s="21"/>
      <c r="GS151" s="168">
        <v>-627797</v>
      </c>
      <c r="GT151" s="168">
        <v>311873</v>
      </c>
      <c r="GU151" s="168">
        <v>-121808</v>
      </c>
      <c r="GV151" s="168">
        <v>-123265</v>
      </c>
      <c r="GW151" s="168">
        <v>211439</v>
      </c>
      <c r="GX151" s="168">
        <v>368444</v>
      </c>
      <c r="GY151" s="21"/>
      <c r="GZ151" s="21"/>
      <c r="HA151" s="21"/>
      <c r="HB151" s="21"/>
      <c r="HC151" s="21"/>
      <c r="HD151" s="21"/>
      <c r="HE151" s="168">
        <v>-113628</v>
      </c>
      <c r="HF151" s="168">
        <v>-117434</v>
      </c>
      <c r="HG151" s="21"/>
      <c r="HH151" s="21"/>
      <c r="HI151" s="21"/>
      <c r="HJ151" s="21"/>
      <c r="HK151" s="21"/>
      <c r="HL151" s="21"/>
      <c r="HM151" s="21"/>
      <c r="HN151" s="21"/>
      <c r="HO151" s="168">
        <v>-6428407</v>
      </c>
      <c r="HP151" s="168">
        <v>-6245448</v>
      </c>
      <c r="HQ151" s="21"/>
      <c r="HR151" s="21"/>
      <c r="HS151" s="21"/>
      <c r="HT151" s="21"/>
      <c r="HU151" s="168">
        <v>-1571969</v>
      </c>
      <c r="HV151" s="168">
        <v>-1623151</v>
      </c>
      <c r="HW151" s="168">
        <v>-335503</v>
      </c>
      <c r="HX151" s="168">
        <v>-570150</v>
      </c>
      <c r="HY151" s="21"/>
      <c r="HZ151" s="21"/>
      <c r="IA151" s="21"/>
      <c r="IB151" s="21"/>
      <c r="IC151" s="21"/>
      <c r="ID151" s="21"/>
      <c r="IE151" s="168">
        <v>-2805135</v>
      </c>
      <c r="IF151" s="168">
        <v>-2747896</v>
      </c>
      <c r="IG151" s="21"/>
      <c r="IH151" s="21"/>
      <c r="II151" s="21"/>
      <c r="IJ151" s="21"/>
      <c r="IK151" s="21"/>
      <c r="IL151" s="21"/>
      <c r="IM151" s="21"/>
      <c r="IN151" s="21"/>
      <c r="IO151" s="21"/>
      <c r="IP151" s="21"/>
      <c r="IQ151" s="21"/>
      <c r="IR151" s="21"/>
      <c r="IS151" s="21"/>
      <c r="IT151" s="21"/>
      <c r="IU151" s="168">
        <v>-605946</v>
      </c>
      <c r="IV151" s="168">
        <v>211477</v>
      </c>
      <c r="IW151" s="168">
        <v>-563787</v>
      </c>
      <c r="IX151" s="168">
        <v>269392</v>
      </c>
      <c r="IY151" s="21"/>
      <c r="IZ151" s="21"/>
      <c r="JA151" s="21"/>
      <c r="JB151" s="21"/>
      <c r="JC151" s="21"/>
      <c r="JD151" s="21"/>
      <c r="JE151" s="168">
        <v>-19039981</v>
      </c>
      <c r="JF151" s="168">
        <v>-18551946</v>
      </c>
      <c r="JG151" s="21"/>
      <c r="JH151" s="21"/>
      <c r="JI151" s="21"/>
      <c r="JJ151" s="21"/>
      <c r="JK151" s="168">
        <v>-44402</v>
      </c>
      <c r="JL151" s="168">
        <v>-58798</v>
      </c>
      <c r="JM151" s="21"/>
      <c r="JN151" s="21"/>
      <c r="JO151" s="168">
        <v>2243</v>
      </c>
      <c r="JP151" s="168">
        <v>884</v>
      </c>
      <c r="JQ151" s="21"/>
      <c r="JR151" s="21"/>
      <c r="JS151" s="21"/>
      <c r="JT151" s="21"/>
      <c r="JU151" s="21"/>
      <c r="JV151" s="21"/>
      <c r="JW151" s="168">
        <v>114996389</v>
      </c>
      <c r="JX151" s="168">
        <v>114364436</v>
      </c>
      <c r="JY151" s="21"/>
      <c r="JZ151" s="21"/>
      <c r="KA151" s="21"/>
      <c r="KB151" s="21"/>
      <c r="KC151" s="21"/>
      <c r="KD151" s="21"/>
      <c r="KE151" s="21"/>
      <c r="KF151" s="21"/>
      <c r="KG151" s="21"/>
      <c r="KH151" s="21"/>
      <c r="KI151" s="21"/>
      <c r="KJ151" s="21"/>
      <c r="KK151" s="21"/>
      <c r="KL151" s="21"/>
      <c r="KM151" s="21"/>
      <c r="KN151" s="21"/>
      <c r="KO151" s="21"/>
      <c r="KP151" s="21"/>
      <c r="KQ151" s="21"/>
      <c r="KR151" s="21"/>
      <c r="KS151" s="21"/>
      <c r="KT151" s="21"/>
      <c r="KU151" s="21"/>
      <c r="KV151" s="21"/>
      <c r="KW151" s="21"/>
      <c r="KX151" s="21"/>
      <c r="KY151" s="168">
        <v>18175</v>
      </c>
      <c r="KZ151" s="168">
        <v>20350</v>
      </c>
      <c r="LA151" s="168">
        <v>1316016</v>
      </c>
      <c r="LB151" s="168">
        <v>1316016</v>
      </c>
      <c r="LC151" s="168">
        <v>752</v>
      </c>
      <c r="LD151" s="168">
        <v>700</v>
      </c>
      <c r="LE151" s="168">
        <v>83</v>
      </c>
      <c r="LF151" s="168">
        <v>51</v>
      </c>
      <c r="LG151" s="21"/>
      <c r="LH151" s="21"/>
      <c r="LI151" s="168">
        <v>5384166</v>
      </c>
      <c r="LJ151" s="168">
        <v>5527606</v>
      </c>
      <c r="LK151" s="168">
        <v>11977270</v>
      </c>
      <c r="LL151" s="168">
        <v>8466252</v>
      </c>
      <c r="LM151" s="168">
        <v>215465</v>
      </c>
      <c r="LN151" s="168">
        <v>41854</v>
      </c>
      <c r="LO151" s="21"/>
      <c r="LP151" s="21"/>
      <c r="LQ151" s="21"/>
      <c r="LR151" s="21"/>
      <c r="LS151" s="21"/>
      <c r="LT151" s="21"/>
      <c r="LU151" s="21"/>
      <c r="LV151" s="21"/>
      <c r="LW151" s="21"/>
      <c r="LX151" s="21"/>
      <c r="LY151" s="21"/>
      <c r="LZ151" s="21"/>
      <c r="MA151" s="168">
        <v>3799842</v>
      </c>
      <c r="MB151" s="168">
        <v>2974105</v>
      </c>
      <c r="MC151" s="168">
        <v>840212</v>
      </c>
      <c r="MD151" s="168">
        <v>944362</v>
      </c>
      <c r="ME151" s="21"/>
      <c r="MF151" s="21"/>
      <c r="MG151" s="21"/>
      <c r="MH151" s="21"/>
      <c r="MI151" s="21"/>
      <c r="MJ151" s="21"/>
      <c r="MK151" s="21"/>
      <c r="ML151" s="21"/>
      <c r="MM151" s="21"/>
      <c r="MN151" s="21"/>
      <c r="MO151" s="168">
        <v>1047859</v>
      </c>
      <c r="MP151" s="168">
        <v>1062613</v>
      </c>
      <c r="MQ151" s="168">
        <v>504218</v>
      </c>
      <c r="MR151" s="168">
        <v>537894</v>
      </c>
      <c r="MS151" s="21"/>
      <c r="MT151" s="21"/>
      <c r="MU151" s="21"/>
      <c r="MV151" s="21"/>
      <c r="MW151" s="168">
        <v>22469021</v>
      </c>
      <c r="MX151" s="168">
        <v>22135496</v>
      </c>
      <c r="MY151" s="21"/>
      <c r="MZ151" s="21"/>
      <c r="NA151" s="21"/>
      <c r="NB151" s="21"/>
      <c r="NC151" s="168">
        <v>627797</v>
      </c>
      <c r="ND151" s="168">
        <v>311873</v>
      </c>
      <c r="NE151" s="168">
        <v>9297</v>
      </c>
      <c r="NF151" s="168">
        <v>10497</v>
      </c>
      <c r="NG151" s="168">
        <v>23157240</v>
      </c>
      <c r="NH151" s="168">
        <v>23763384</v>
      </c>
      <c r="NI151" s="21"/>
      <c r="NJ151" s="21"/>
      <c r="NK151" s="168">
        <v>840</v>
      </c>
      <c r="NL151" s="168">
        <v>752</v>
      </c>
      <c r="NM151" s="168">
        <v>23586366</v>
      </c>
      <c r="NN151" s="168">
        <v>21135565</v>
      </c>
      <c r="NO151" s="168">
        <v>48304140</v>
      </c>
      <c r="NP151" s="168">
        <v>46509201</v>
      </c>
      <c r="NQ151" s="168" t="s">
        <v>904</v>
      </c>
      <c r="NR151" s="168" t="s">
        <v>830</v>
      </c>
      <c r="NS151" s="168" t="s">
        <v>770</v>
      </c>
      <c r="NT151" s="168" t="s">
        <v>771</v>
      </c>
      <c r="NU151" s="168">
        <v>7501</v>
      </c>
      <c r="NV151" s="168" t="s">
        <v>2104</v>
      </c>
      <c r="NW151" s="168" t="s">
        <v>28</v>
      </c>
      <c r="NX151" s="168" t="s">
        <v>25</v>
      </c>
      <c r="NY151" s="169">
        <v>42825</v>
      </c>
      <c r="NZ151" s="169">
        <v>42460</v>
      </c>
      <c r="OA151" s="169">
        <v>43032</v>
      </c>
      <c r="OB151" s="168" t="s">
        <v>1529</v>
      </c>
      <c r="OC151" s="168">
        <v>12</v>
      </c>
      <c r="OD151" s="168" t="s">
        <v>2106</v>
      </c>
      <c r="OE151" s="168" t="s">
        <v>2609</v>
      </c>
      <c r="OF151" s="168" t="s">
        <v>2610</v>
      </c>
      <c r="OG151" s="168" t="s">
        <v>2069</v>
      </c>
      <c r="OH151" s="168" t="s">
        <v>765</v>
      </c>
      <c r="OI151" s="168" t="s">
        <v>766</v>
      </c>
      <c r="OJ151" s="168" t="s">
        <v>3240</v>
      </c>
      <c r="OK151" s="168" t="s">
        <v>829</v>
      </c>
    </row>
    <row r="152" spans="1:401" x14ac:dyDescent="0.2">
      <c r="A152" s="170" t="str">
        <f>Liste[[#This Row],[Siren]]</f>
        <v>520323668</v>
      </c>
      <c r="B152" s="198" t="str">
        <f>Liste[[#This Row],[Dénomination]]&amp;" - comptes "&amp;YEAR(Liste[[#This Row],[Date de cloture de l''exercice]])</f>
        <v>SODIDOUAI - comptes 2017</v>
      </c>
      <c r="C152" s="21"/>
      <c r="D152" s="21"/>
      <c r="E152" s="21"/>
      <c r="F152" s="168">
        <v>1401774</v>
      </c>
      <c r="G152" s="168">
        <v>1123969</v>
      </c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168">
        <v>971264</v>
      </c>
      <c r="BE152" s="168">
        <v>843472</v>
      </c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168">
        <v>4937663</v>
      </c>
      <c r="BY152" s="168">
        <v>4414594</v>
      </c>
      <c r="BZ152" s="21"/>
      <c r="CA152" s="21"/>
      <c r="CB152" s="21"/>
      <c r="CC152" s="21"/>
      <c r="CD152" s="21"/>
      <c r="CE152" s="168">
        <v>3495709</v>
      </c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168">
        <v>10992655</v>
      </c>
      <c r="EM152" s="168">
        <v>15315113</v>
      </c>
      <c r="EN152" s="21"/>
      <c r="EO152" s="21"/>
      <c r="EP152" s="168">
        <v>11985656</v>
      </c>
      <c r="EQ152" s="168">
        <v>10791181</v>
      </c>
      <c r="ER152" s="21"/>
      <c r="ES152" s="21"/>
      <c r="ET152" s="168">
        <v>26710492</v>
      </c>
      <c r="EU152" s="168">
        <v>26414365</v>
      </c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168">
        <v>1150000</v>
      </c>
      <c r="FG152" s="168">
        <v>1050000</v>
      </c>
      <c r="FH152" s="21"/>
      <c r="FI152" s="168">
        <v>10462</v>
      </c>
      <c r="FJ152" s="168">
        <v>23002</v>
      </c>
      <c r="FK152" s="21"/>
      <c r="FL152" s="21"/>
      <c r="FM152" s="21"/>
      <c r="FN152" s="21"/>
      <c r="FO152" s="21"/>
      <c r="FP152" s="21"/>
      <c r="FQ152" s="21"/>
      <c r="FR152" s="21"/>
      <c r="FS152" s="21"/>
      <c r="FT152" s="21"/>
      <c r="FU152" s="21"/>
      <c r="FV152" s="21"/>
      <c r="FW152" s="168">
        <v>145781</v>
      </c>
      <c r="FX152" s="168">
        <v>109317</v>
      </c>
      <c r="FY152" s="168">
        <v>234</v>
      </c>
      <c r="FZ152" s="168">
        <v>222</v>
      </c>
      <c r="GA152" s="21"/>
      <c r="GB152" s="21"/>
      <c r="GC152" s="21"/>
      <c r="GD152" s="21"/>
      <c r="GE152" s="21"/>
      <c r="GF152" s="21"/>
      <c r="GG152" s="21"/>
      <c r="GH152" s="21"/>
      <c r="GI152" s="21"/>
      <c r="GJ152" s="21"/>
      <c r="GK152" s="21"/>
      <c r="GL152" s="21"/>
      <c r="GM152" s="168">
        <v>1173998</v>
      </c>
      <c r="GN152" s="168">
        <v>1067680</v>
      </c>
      <c r="GO152" s="168">
        <v>1173998</v>
      </c>
      <c r="GP152" s="168">
        <v>1067680</v>
      </c>
      <c r="GQ152" s="21"/>
      <c r="GR152" s="21"/>
      <c r="GS152" s="168">
        <v>1173764</v>
      </c>
      <c r="GT152" s="168">
        <v>1067458</v>
      </c>
      <c r="GU152" s="168">
        <v>168695</v>
      </c>
      <c r="GV152" s="168">
        <v>60710</v>
      </c>
      <c r="GW152" s="168">
        <v>179157</v>
      </c>
      <c r="GX152" s="168">
        <v>83712</v>
      </c>
      <c r="GY152" s="21"/>
      <c r="GZ152" s="21"/>
      <c r="HA152" s="21"/>
      <c r="HB152" s="21"/>
      <c r="HC152" s="168">
        <v>3249383</v>
      </c>
      <c r="HD152" s="168">
        <v>3358310</v>
      </c>
      <c r="HE152" s="21"/>
      <c r="HF152" s="21"/>
      <c r="HG152" s="21"/>
      <c r="HH152" s="21"/>
      <c r="HI152" s="168">
        <v>429582</v>
      </c>
      <c r="HJ152" s="168">
        <v>395121</v>
      </c>
      <c r="HK152" s="21"/>
      <c r="HL152" s="21"/>
      <c r="HM152" s="21"/>
      <c r="HN152" s="21"/>
      <c r="HO152" s="21"/>
      <c r="HP152" s="21"/>
      <c r="HQ152" s="21"/>
      <c r="HR152" s="21"/>
      <c r="HS152" s="21"/>
      <c r="HT152" s="21"/>
      <c r="HU152" s="168">
        <v>1027000</v>
      </c>
      <c r="HV152" s="168">
        <v>968199</v>
      </c>
      <c r="HW152" s="21"/>
      <c r="HX152" s="21"/>
      <c r="HY152" s="21"/>
      <c r="HZ152" s="168">
        <v>60386</v>
      </c>
      <c r="IA152" s="21"/>
      <c r="IB152" s="21"/>
      <c r="IC152" s="21"/>
      <c r="ID152" s="21"/>
      <c r="IE152" s="168">
        <v>1016633</v>
      </c>
      <c r="IF152" s="168">
        <v>941267</v>
      </c>
      <c r="IG152" s="21"/>
      <c r="IH152" s="21"/>
      <c r="II152" s="21"/>
      <c r="IJ152" s="21"/>
      <c r="IK152" s="21"/>
      <c r="IL152" s="21"/>
      <c r="IM152" s="21"/>
      <c r="IN152" s="21"/>
      <c r="IO152" s="21"/>
      <c r="IP152" s="21"/>
      <c r="IQ152" s="21"/>
      <c r="IR152" s="21"/>
      <c r="IS152" s="21"/>
      <c r="IT152" s="21"/>
      <c r="IU152" s="168">
        <v>1309317</v>
      </c>
      <c r="IV152" s="168">
        <v>1153995</v>
      </c>
      <c r="IW152" s="168">
        <v>1429618</v>
      </c>
      <c r="IX152" s="168">
        <v>1284392</v>
      </c>
      <c r="IY152" s="168">
        <v>-120301</v>
      </c>
      <c r="IZ152" s="168">
        <v>-130397</v>
      </c>
      <c r="JA152" s="168">
        <v>264200</v>
      </c>
      <c r="JB152" s="168">
        <v>196296</v>
      </c>
      <c r="JC152" s="21"/>
      <c r="JD152" s="21"/>
      <c r="JE152" s="168">
        <v>6487668</v>
      </c>
      <c r="JF152" s="168">
        <v>6402750</v>
      </c>
      <c r="JG152" s="168">
        <v>1825</v>
      </c>
      <c r="JH152" s="168">
        <v>2085</v>
      </c>
      <c r="JI152" s="168">
        <v>59647587</v>
      </c>
      <c r="JJ152" s="168">
        <v>58257893</v>
      </c>
      <c r="JK152" s="168">
        <v>140492</v>
      </c>
      <c r="JL152" s="168">
        <v>162333</v>
      </c>
      <c r="JM152" s="168">
        <v>61077205</v>
      </c>
      <c r="JN152" s="168">
        <v>59542285</v>
      </c>
      <c r="JO152" s="168">
        <v>20191</v>
      </c>
      <c r="JP152" s="168">
        <v>31936</v>
      </c>
      <c r="JQ152" s="21"/>
      <c r="JR152" s="21"/>
      <c r="JS152" s="21"/>
      <c r="JT152" s="21"/>
      <c r="JU152" s="21"/>
      <c r="JV152" s="21"/>
      <c r="JW152" s="168">
        <v>60381598</v>
      </c>
      <c r="JX152" s="168">
        <v>58948783</v>
      </c>
      <c r="JY152" s="21"/>
      <c r="JZ152" s="21"/>
      <c r="KA152" s="21"/>
      <c r="KB152" s="21"/>
      <c r="KC152" s="21"/>
      <c r="KD152" s="21"/>
      <c r="KE152" s="21"/>
      <c r="KF152" s="21"/>
      <c r="KG152" s="21"/>
      <c r="KH152" s="21"/>
      <c r="KI152" s="168">
        <v>56936661</v>
      </c>
      <c r="KJ152" s="168">
        <v>55289755</v>
      </c>
      <c r="KK152" s="21"/>
      <c r="KL152" s="21"/>
      <c r="KM152" s="21"/>
      <c r="KN152" s="21"/>
      <c r="KO152" s="21"/>
      <c r="KP152" s="21"/>
      <c r="KQ152" s="168">
        <v>163183</v>
      </c>
      <c r="KR152" s="168">
        <v>183905</v>
      </c>
      <c r="KS152" s="21"/>
      <c r="KT152" s="21"/>
      <c r="KU152" s="21"/>
      <c r="KV152" s="21"/>
      <c r="KW152" s="21"/>
      <c r="KX152" s="21"/>
      <c r="KY152" s="21"/>
      <c r="KZ152" s="21"/>
      <c r="LA152" s="168">
        <v>40000</v>
      </c>
      <c r="LB152" s="168">
        <v>40000</v>
      </c>
      <c r="LC152" s="21"/>
      <c r="LD152" s="21"/>
      <c r="LE152" s="21"/>
      <c r="LF152" s="21"/>
      <c r="LG152" s="21"/>
      <c r="LH152" s="21"/>
      <c r="LI152" s="168">
        <v>2611746</v>
      </c>
      <c r="LJ152" s="168">
        <v>2436511</v>
      </c>
      <c r="LK152" s="168">
        <v>4627343</v>
      </c>
      <c r="LL152" s="168">
        <v>4015815</v>
      </c>
      <c r="LM152" s="168">
        <v>45787</v>
      </c>
      <c r="LN152" s="168">
        <v>43120</v>
      </c>
      <c r="LO152" s="21"/>
      <c r="LP152" s="21"/>
      <c r="LQ152" s="21"/>
      <c r="LR152" s="21"/>
      <c r="LS152" s="21"/>
      <c r="LT152" s="21"/>
      <c r="LU152" s="21"/>
      <c r="LV152" s="21"/>
      <c r="LW152" s="21"/>
      <c r="LX152" s="21"/>
      <c r="LY152" s="21"/>
      <c r="LZ152" s="21"/>
      <c r="MA152" s="21"/>
      <c r="MB152" s="21"/>
      <c r="MC152" s="168">
        <v>10199539</v>
      </c>
      <c r="MD152" s="168">
        <v>11361702</v>
      </c>
      <c r="ME152" s="21"/>
      <c r="MF152" s="21"/>
      <c r="MG152" s="21"/>
      <c r="MH152" s="21"/>
      <c r="MI152" s="21"/>
      <c r="MJ152" s="21"/>
      <c r="MK152" s="21"/>
      <c r="ML152" s="21"/>
      <c r="MM152" s="21"/>
      <c r="MN152" s="21"/>
      <c r="MO152" s="21"/>
      <c r="MP152" s="21"/>
      <c r="MQ152" s="21"/>
      <c r="MR152" s="21"/>
      <c r="MS152" s="168">
        <v>-2</v>
      </c>
      <c r="MT152" s="168">
        <v>-1</v>
      </c>
      <c r="MU152" s="21"/>
      <c r="MV152" s="21"/>
      <c r="MW152" s="168">
        <v>5888339</v>
      </c>
      <c r="MX152" s="168">
        <v>5020882</v>
      </c>
      <c r="MY152" s="21"/>
      <c r="MZ152" s="21"/>
      <c r="NA152" s="21"/>
      <c r="NB152" s="21"/>
      <c r="NC152" s="168">
        <v>1173764</v>
      </c>
      <c r="ND152" s="168">
        <v>1067458</v>
      </c>
      <c r="NE152" s="21"/>
      <c r="NF152" s="21"/>
      <c r="NG152" s="168">
        <v>7102101</v>
      </c>
      <c r="NH152" s="168">
        <v>6128339</v>
      </c>
      <c r="NI152" s="21"/>
      <c r="NJ152" s="21"/>
      <c r="NK152" s="168">
        <v>3432</v>
      </c>
      <c r="NL152" s="168">
        <v>6482</v>
      </c>
      <c r="NM152" s="168">
        <v>17647598</v>
      </c>
      <c r="NN152" s="168">
        <v>18041053</v>
      </c>
      <c r="NO152" s="168">
        <v>26710492</v>
      </c>
      <c r="NP152" s="168">
        <v>26414365</v>
      </c>
      <c r="NQ152" s="168" t="s">
        <v>1530</v>
      </c>
      <c r="NR152" s="168" t="s">
        <v>823</v>
      </c>
      <c r="NS152" s="168" t="s">
        <v>770</v>
      </c>
      <c r="NT152" s="168" t="s">
        <v>771</v>
      </c>
      <c r="NU152" s="168">
        <v>5952</v>
      </c>
      <c r="NV152" s="168" t="s">
        <v>2104</v>
      </c>
      <c r="NW152" s="168" t="s">
        <v>28</v>
      </c>
      <c r="NX152" s="168" t="s">
        <v>25</v>
      </c>
      <c r="NY152" s="169">
        <v>42825</v>
      </c>
      <c r="NZ152" s="169">
        <v>42460</v>
      </c>
      <c r="OA152" s="169">
        <v>43026</v>
      </c>
      <c r="OB152" s="168" t="s">
        <v>1531</v>
      </c>
      <c r="OC152" s="168">
        <v>12</v>
      </c>
      <c r="OD152" s="168" t="s">
        <v>2106</v>
      </c>
      <c r="OE152" s="168" t="s">
        <v>2344</v>
      </c>
      <c r="OF152" s="168" t="s">
        <v>2611</v>
      </c>
      <c r="OG152" s="168" t="s">
        <v>2070</v>
      </c>
      <c r="OH152" s="168" t="s">
        <v>848</v>
      </c>
      <c r="OI152" s="168" t="s">
        <v>766</v>
      </c>
      <c r="OJ152" s="168" t="s">
        <v>3240</v>
      </c>
      <c r="OK152" s="168" t="s">
        <v>822</v>
      </c>
    </row>
    <row r="153" spans="1:401" x14ac:dyDescent="0.2">
      <c r="A153" s="170" t="str">
        <f>Liste[[#This Row],[Siren]]</f>
        <v>394197487</v>
      </c>
      <c r="B153" s="198" t="str">
        <f>Liste[[#This Row],[Dénomination]]&amp;" - comptes "&amp;YEAR(Liste[[#This Row],[Date de cloture de l''exercice]])</f>
        <v>FINANCIERE NIORT SA - comptes 2017</v>
      </c>
      <c r="C153" s="21"/>
      <c r="D153" s="21"/>
      <c r="E153" s="21"/>
      <c r="F153" s="168">
        <v>4470976</v>
      </c>
      <c r="G153" s="168">
        <v>3852328</v>
      </c>
      <c r="H153" s="168">
        <v>4470976</v>
      </c>
      <c r="I153" s="168">
        <v>4878828</v>
      </c>
      <c r="J153" s="168">
        <v>1650847</v>
      </c>
      <c r="K153" s="168">
        <v>1579850</v>
      </c>
      <c r="L153" s="168">
        <v>6529674</v>
      </c>
      <c r="M153" s="21"/>
      <c r="N153" s="168">
        <v>208365</v>
      </c>
      <c r="O153" s="168">
        <v>208812</v>
      </c>
      <c r="P153" s="168">
        <v>208365</v>
      </c>
      <c r="Q153" s="21"/>
      <c r="R153" s="168">
        <v>14535</v>
      </c>
      <c r="S153" s="21"/>
      <c r="T153" s="168">
        <v>14535</v>
      </c>
      <c r="U153" s="21"/>
      <c r="V153" s="168">
        <v>265862</v>
      </c>
      <c r="W153" s="168">
        <v>270436</v>
      </c>
      <c r="X153" s="168">
        <v>265862</v>
      </c>
      <c r="Y153" s="21"/>
      <c r="Z153" s="168">
        <v>300</v>
      </c>
      <c r="AA153" s="168">
        <v>300</v>
      </c>
      <c r="AB153" s="168">
        <v>300</v>
      </c>
      <c r="AC153" s="21"/>
      <c r="AD153" s="21"/>
      <c r="AE153" s="21"/>
      <c r="AF153" s="21"/>
      <c r="AG153" s="21"/>
      <c r="AH153" s="21"/>
      <c r="AI153" s="21"/>
      <c r="AJ153" s="21"/>
      <c r="AK153" s="21"/>
      <c r="AL153" s="168">
        <v>203925</v>
      </c>
      <c r="AM153" s="168">
        <v>6438</v>
      </c>
      <c r="AN153" s="168">
        <v>203925</v>
      </c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168">
        <v>270171</v>
      </c>
      <c r="BA153" s="168">
        <v>362395</v>
      </c>
      <c r="BB153" s="168">
        <v>270171</v>
      </c>
      <c r="BC153" s="168">
        <v>905033</v>
      </c>
      <c r="BD153" s="168">
        <v>14012022</v>
      </c>
      <c r="BE153" s="168">
        <v>12386643</v>
      </c>
      <c r="BF153" s="168">
        <v>14917055</v>
      </c>
      <c r="BG153" s="168">
        <v>227162</v>
      </c>
      <c r="BH153" s="168">
        <v>6788</v>
      </c>
      <c r="BI153" s="168">
        <v>17285</v>
      </c>
      <c r="BJ153" s="168">
        <v>233950</v>
      </c>
      <c r="BK153" s="168">
        <v>9700505</v>
      </c>
      <c r="BL153" s="168">
        <v>6350401</v>
      </c>
      <c r="BM153" s="168">
        <v>4607058</v>
      </c>
      <c r="BN153" s="168">
        <v>16050906</v>
      </c>
      <c r="BO153" s="21"/>
      <c r="BP153" s="21"/>
      <c r="BQ153" s="21"/>
      <c r="BR153" s="21"/>
      <c r="BS153" s="21"/>
      <c r="BT153" s="21"/>
      <c r="BU153" s="21"/>
      <c r="BV153" s="21"/>
      <c r="BW153" s="21"/>
      <c r="BX153" s="168">
        <v>5665615</v>
      </c>
      <c r="BY153" s="168">
        <v>5418970</v>
      </c>
      <c r="BZ153" s="168">
        <v>5665615</v>
      </c>
      <c r="CA153" s="21"/>
      <c r="CB153" s="21"/>
      <c r="CC153" s="21"/>
      <c r="CD153" s="168">
        <v>264224</v>
      </c>
      <c r="CE153" s="168">
        <v>548772</v>
      </c>
      <c r="CF153" s="168">
        <v>548772</v>
      </c>
      <c r="CG153" s="168">
        <v>812996</v>
      </c>
      <c r="CH153" s="21"/>
      <c r="CI153" s="21"/>
      <c r="CJ153" s="21"/>
      <c r="CK153" s="21"/>
      <c r="CL153" s="21"/>
      <c r="CM153" s="21"/>
      <c r="CN153" s="21"/>
      <c r="CO153" s="21"/>
      <c r="CP153" s="168">
        <v>593818</v>
      </c>
      <c r="CQ153" s="168">
        <v>3405127</v>
      </c>
      <c r="CR153" s="168">
        <v>3405127</v>
      </c>
      <c r="CS153" s="168">
        <v>3998945</v>
      </c>
      <c r="CT153" s="21"/>
      <c r="CU153" s="21"/>
      <c r="CV153" s="21"/>
      <c r="CW153" s="21"/>
      <c r="CX153" s="21"/>
      <c r="CY153" s="21"/>
      <c r="CZ153" s="21"/>
      <c r="DA153" s="21"/>
      <c r="DB153" s="21"/>
      <c r="DC153" s="168">
        <v>2000</v>
      </c>
      <c r="DD153" s="168">
        <v>3000</v>
      </c>
      <c r="DE153" s="168">
        <v>2000</v>
      </c>
      <c r="DF153" s="168">
        <v>3422963</v>
      </c>
      <c r="DG153" s="168">
        <v>593206</v>
      </c>
      <c r="DH153" s="168">
        <v>578622</v>
      </c>
      <c r="DI153" s="168">
        <v>4016169</v>
      </c>
      <c r="DJ153" s="168">
        <v>720296</v>
      </c>
      <c r="DK153" s="168">
        <v>11810936</v>
      </c>
      <c r="DL153" s="168">
        <v>11188856</v>
      </c>
      <c r="DM153" s="168">
        <v>12531232</v>
      </c>
      <c r="DN153" s="21"/>
      <c r="DO153" s="168">
        <v>25041</v>
      </c>
      <c r="DP153" s="168">
        <v>28763</v>
      </c>
      <c r="DQ153" s="168">
        <v>25041</v>
      </c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168">
        <v>19087500</v>
      </c>
      <c r="EL153" s="168">
        <v>13446336</v>
      </c>
      <c r="EM153" s="168">
        <v>11434395</v>
      </c>
      <c r="EN153" s="168">
        <v>32533836</v>
      </c>
      <c r="EO153" s="168">
        <v>1625329</v>
      </c>
      <c r="EP153" s="168">
        <v>56772471</v>
      </c>
      <c r="EQ153" s="168">
        <v>52304434</v>
      </c>
      <c r="ER153" s="168">
        <v>58397800</v>
      </c>
      <c r="ES153" s="168">
        <v>20712829</v>
      </c>
      <c r="ET153" s="168">
        <v>70218807</v>
      </c>
      <c r="EU153" s="168">
        <v>63738829</v>
      </c>
      <c r="EV153" s="168">
        <v>90931636</v>
      </c>
      <c r="EW153" s="21"/>
      <c r="EX153" s="168">
        <v>400133</v>
      </c>
      <c r="EY153" s="168">
        <v>215133</v>
      </c>
      <c r="EZ153" s="168">
        <v>400133</v>
      </c>
      <c r="FA153" s="21"/>
      <c r="FB153" s="21"/>
      <c r="FC153" s="21"/>
      <c r="FD153" s="21"/>
      <c r="FE153" s="21"/>
      <c r="FF153" s="168">
        <v>20313785</v>
      </c>
      <c r="FG153" s="168">
        <v>19060040</v>
      </c>
      <c r="FH153" s="168">
        <v>20313785</v>
      </c>
      <c r="FI153" s="168">
        <v>-87200</v>
      </c>
      <c r="FJ153" s="168">
        <v>-216552</v>
      </c>
      <c r="FK153" s="21"/>
      <c r="FL153" s="21"/>
      <c r="FM153" s="168">
        <v>174973</v>
      </c>
      <c r="FN153" s="168">
        <v>120795</v>
      </c>
      <c r="FO153" s="168">
        <v>694929</v>
      </c>
      <c r="FP153" s="168">
        <v>208065</v>
      </c>
      <c r="FQ153" s="21"/>
      <c r="FR153" s="168">
        <v>40650</v>
      </c>
      <c r="FS153" s="21"/>
      <c r="FT153" s="168">
        <v>71188</v>
      </c>
      <c r="FU153" s="168">
        <v>-24510</v>
      </c>
      <c r="FV153" s="168">
        <v>-94692</v>
      </c>
      <c r="FW153" s="21"/>
      <c r="FX153" s="21"/>
      <c r="FY153" s="21"/>
      <c r="FZ153" s="21"/>
      <c r="GA153" s="168">
        <v>743704</v>
      </c>
      <c r="GB153" s="168">
        <v>615851</v>
      </c>
      <c r="GC153" s="168">
        <v>103336</v>
      </c>
      <c r="GD153" s="168">
        <v>24143</v>
      </c>
      <c r="GE153" s="168">
        <v>679366</v>
      </c>
      <c r="GF153" s="168">
        <v>159353</v>
      </c>
      <c r="GG153" s="21"/>
      <c r="GH153" s="21"/>
      <c r="GI153" s="21"/>
      <c r="GJ153" s="21"/>
      <c r="GK153" s="21"/>
      <c r="GL153" s="21"/>
      <c r="GM153" s="168">
        <v>2381371</v>
      </c>
      <c r="GN153" s="168">
        <v>1853852</v>
      </c>
      <c r="GO153" s="168">
        <v>2381371</v>
      </c>
      <c r="GP153" s="168">
        <v>1894502</v>
      </c>
      <c r="GQ153" s="21"/>
      <c r="GR153" s="21"/>
      <c r="GS153" s="168">
        <v>2381371</v>
      </c>
      <c r="GT153" s="168">
        <v>1853852</v>
      </c>
      <c r="GU153" s="168">
        <v>869902</v>
      </c>
      <c r="GV153" s="168">
        <v>400047</v>
      </c>
      <c r="GW153" s="168">
        <v>782702</v>
      </c>
      <c r="GX153" s="168">
        <v>183496</v>
      </c>
      <c r="GY153" s="168">
        <v>39340810</v>
      </c>
      <c r="GZ153" s="168">
        <v>37323004</v>
      </c>
      <c r="HA153" s="168">
        <v>203228</v>
      </c>
      <c r="HB153" s="168">
        <v>201113</v>
      </c>
      <c r="HC153" s="168">
        <v>7705883</v>
      </c>
      <c r="HD153" s="168">
        <v>7275824</v>
      </c>
      <c r="HE153" s="168">
        <v>400636</v>
      </c>
      <c r="HF153" s="168">
        <v>107683</v>
      </c>
      <c r="HG153" s="168">
        <v>596465</v>
      </c>
      <c r="HH153" s="168">
        <v>554906</v>
      </c>
      <c r="HI153" s="168">
        <v>33160</v>
      </c>
      <c r="HJ153" s="168">
        <v>28022</v>
      </c>
      <c r="HK153" s="21"/>
      <c r="HL153" s="21"/>
      <c r="HM153" s="21"/>
      <c r="HN153" s="21"/>
      <c r="HO153" s="168">
        <v>6096884</v>
      </c>
      <c r="HP153" s="168">
        <v>6011000</v>
      </c>
      <c r="HQ153" s="21"/>
      <c r="HR153" s="21"/>
      <c r="HS153" s="21"/>
      <c r="HT153" s="21"/>
      <c r="HU153" s="21"/>
      <c r="HV153" s="21"/>
      <c r="HW153" s="21"/>
      <c r="HX153" s="21"/>
      <c r="HY153" s="21"/>
      <c r="HZ153" s="21"/>
      <c r="IA153" s="21"/>
      <c r="IB153" s="21"/>
      <c r="IC153" s="21"/>
      <c r="ID153" s="21"/>
      <c r="IE153" s="168">
        <v>1418201</v>
      </c>
      <c r="IF153" s="168">
        <v>1255868</v>
      </c>
      <c r="IG153" s="168">
        <v>165401</v>
      </c>
      <c r="IH153" s="168">
        <v>34258</v>
      </c>
      <c r="II153" s="21"/>
      <c r="IJ153" s="21"/>
      <c r="IK153" s="21"/>
      <c r="IL153" s="21"/>
      <c r="IM153" s="21"/>
      <c r="IN153" s="21"/>
      <c r="IO153" s="21"/>
      <c r="IP153" s="21"/>
      <c r="IQ153" s="168">
        <v>2</v>
      </c>
      <c r="IR153" s="168">
        <v>472319</v>
      </c>
      <c r="IS153" s="21"/>
      <c r="IT153" s="21"/>
      <c r="IU153" s="168">
        <v>3187764</v>
      </c>
      <c r="IV153" s="168">
        <v>2632212</v>
      </c>
      <c r="IW153" s="168">
        <v>2756698</v>
      </c>
      <c r="IX153" s="168">
        <v>1639246</v>
      </c>
      <c r="IY153" s="168">
        <v>431067</v>
      </c>
      <c r="IZ153" s="168">
        <v>992967</v>
      </c>
      <c r="JA153" s="168">
        <v>1295309</v>
      </c>
      <c r="JB153" s="168">
        <v>936482</v>
      </c>
      <c r="JC153" s="21"/>
      <c r="JD153" s="21"/>
      <c r="JE153" s="168">
        <v>13603721</v>
      </c>
      <c r="JF153" s="168">
        <v>13020472</v>
      </c>
      <c r="JG153" s="168">
        <v>21194</v>
      </c>
      <c r="JH153" s="168">
        <v>13178</v>
      </c>
      <c r="JI153" s="168">
        <v>70652863</v>
      </c>
      <c r="JJ153" s="168">
        <v>67886713</v>
      </c>
      <c r="JK153" s="168">
        <v>165401</v>
      </c>
      <c r="JL153" s="168">
        <v>34258</v>
      </c>
      <c r="JM153" s="168">
        <v>73409561</v>
      </c>
      <c r="JN153" s="168">
        <v>69525958</v>
      </c>
      <c r="JO153" s="168">
        <v>596467</v>
      </c>
      <c r="JP153" s="168">
        <v>1027225</v>
      </c>
      <c r="JQ153" s="168">
        <v>-628027</v>
      </c>
      <c r="JR153" s="168">
        <v>-17824</v>
      </c>
      <c r="JS153" s="168">
        <v>3722</v>
      </c>
      <c r="JT153" s="168">
        <v>1564</v>
      </c>
      <c r="JU153" s="21"/>
      <c r="JV153" s="21"/>
      <c r="JW153" s="168">
        <v>72059898</v>
      </c>
      <c r="JX153" s="168">
        <v>68548277</v>
      </c>
      <c r="JY153" s="21"/>
      <c r="JZ153" s="21"/>
      <c r="KA153" s="21"/>
      <c r="KB153" s="21"/>
      <c r="KC153" s="21"/>
      <c r="KD153" s="21"/>
      <c r="KE153" s="21"/>
      <c r="KF153" s="21"/>
      <c r="KG153" s="21"/>
      <c r="KH153" s="21"/>
      <c r="KI153" s="168">
        <v>64095023</v>
      </c>
      <c r="KJ153" s="168">
        <v>61340435</v>
      </c>
      <c r="KK153" s="21"/>
      <c r="KL153" s="21"/>
      <c r="KM153" s="21"/>
      <c r="KN153" s="21"/>
      <c r="KO153" s="21"/>
      <c r="KP153" s="21"/>
      <c r="KQ153" s="168">
        <v>396940</v>
      </c>
      <c r="KR153" s="168">
        <v>395501</v>
      </c>
      <c r="KS153" s="21"/>
      <c r="KT153" s="21"/>
      <c r="KU153" s="168">
        <v>25166928</v>
      </c>
      <c r="KV153" s="168">
        <v>25160463</v>
      </c>
      <c r="KW153" s="21"/>
      <c r="KX153" s="21"/>
      <c r="KY153" s="168">
        <v>781473</v>
      </c>
      <c r="KZ153" s="168">
        <v>229043</v>
      </c>
      <c r="LA153" s="168">
        <v>1012860</v>
      </c>
      <c r="LB153" s="168">
        <v>1012860</v>
      </c>
      <c r="LC153" s="21"/>
      <c r="LD153" s="21"/>
      <c r="LE153" s="21"/>
      <c r="LF153" s="21"/>
      <c r="LG153" s="21"/>
      <c r="LH153" s="21"/>
      <c r="LI153" s="168">
        <v>5154828</v>
      </c>
      <c r="LJ153" s="168">
        <v>3884086</v>
      </c>
      <c r="LK153" s="168">
        <v>10592999</v>
      </c>
      <c r="LL153" s="168">
        <v>8832527</v>
      </c>
      <c r="LM153" s="21"/>
      <c r="LN153" s="21"/>
      <c r="LO153" s="21"/>
      <c r="LP153" s="21"/>
      <c r="LQ153" s="21"/>
      <c r="LR153" s="21"/>
      <c r="LS153" s="21"/>
      <c r="LT153" s="21"/>
      <c r="LU153" s="21"/>
      <c r="LV153" s="21"/>
      <c r="LW153" s="21"/>
      <c r="LX153" s="21"/>
      <c r="LY153" s="21"/>
      <c r="LZ153" s="21"/>
      <c r="MA153" s="168">
        <v>3823138</v>
      </c>
      <c r="MB153" s="168">
        <v>2215404</v>
      </c>
      <c r="MC153" s="168">
        <v>30644</v>
      </c>
      <c r="MD153" s="168">
        <v>230559</v>
      </c>
      <c r="ME153" s="21"/>
      <c r="MF153" s="21"/>
      <c r="MG153" s="168">
        <v>17674</v>
      </c>
      <c r="MH153" s="168">
        <v>17674</v>
      </c>
      <c r="MI153" s="168">
        <v>3749638</v>
      </c>
      <c r="MJ153" s="168">
        <v>3749638</v>
      </c>
      <c r="MK153" s="21"/>
      <c r="ML153" s="21"/>
      <c r="MM153" s="21"/>
      <c r="MN153" s="21"/>
      <c r="MO153" s="21"/>
      <c r="MP153" s="21"/>
      <c r="MQ153" s="21"/>
      <c r="MR153" s="21"/>
      <c r="MS153" s="21"/>
      <c r="MT153" s="21"/>
      <c r="MU153" s="21"/>
      <c r="MV153" s="21"/>
      <c r="MW153" s="168">
        <v>101286</v>
      </c>
      <c r="MX153" s="168">
        <v>101286</v>
      </c>
      <c r="MY153" s="21"/>
      <c r="MZ153" s="21"/>
      <c r="NA153" s="21"/>
      <c r="NB153" s="21"/>
      <c r="NC153" s="168">
        <v>2381371</v>
      </c>
      <c r="ND153" s="168">
        <v>1853852</v>
      </c>
      <c r="NE153" s="21"/>
      <c r="NF153" s="21"/>
      <c r="NG153" s="168">
        <v>49353378</v>
      </c>
      <c r="NH153" s="168">
        <v>47864318</v>
      </c>
      <c r="NI153" s="21"/>
      <c r="NJ153" s="21"/>
      <c r="NK153" s="21"/>
      <c r="NL153" s="21"/>
      <c r="NM153" s="168">
        <v>20778037</v>
      </c>
      <c r="NN153" s="168">
        <v>15787119</v>
      </c>
      <c r="NO153" s="168">
        <v>70218807</v>
      </c>
      <c r="NP153" s="168">
        <v>63738829</v>
      </c>
      <c r="NQ153" s="168" t="s">
        <v>870</v>
      </c>
      <c r="NR153" s="168" t="s">
        <v>802</v>
      </c>
      <c r="NS153" s="168" t="s">
        <v>770</v>
      </c>
      <c r="NT153" s="168" t="s">
        <v>771</v>
      </c>
      <c r="NU153" s="168">
        <v>7608</v>
      </c>
      <c r="NV153" s="168" t="s">
        <v>2104</v>
      </c>
      <c r="NW153" s="168" t="s">
        <v>28</v>
      </c>
      <c r="NX153" s="168" t="s">
        <v>25</v>
      </c>
      <c r="NY153" s="169">
        <v>42825</v>
      </c>
      <c r="NZ153" s="169">
        <v>42460</v>
      </c>
      <c r="OA153" s="169">
        <v>43082</v>
      </c>
      <c r="OB153" s="168" t="s">
        <v>1532</v>
      </c>
      <c r="OC153" s="168">
        <v>12</v>
      </c>
      <c r="OD153" s="168" t="s">
        <v>2105</v>
      </c>
      <c r="OE153" s="168" t="s">
        <v>2132</v>
      </c>
      <c r="OF153" s="168" t="s">
        <v>2612</v>
      </c>
      <c r="OG153" s="168" t="s">
        <v>2071</v>
      </c>
      <c r="OH153" s="168" t="s">
        <v>816</v>
      </c>
      <c r="OI153" s="168" t="s">
        <v>766</v>
      </c>
      <c r="OJ153" s="168" t="s">
        <v>3240</v>
      </c>
      <c r="OK153" s="168" t="s">
        <v>801</v>
      </c>
    </row>
    <row r="154" spans="1:401" x14ac:dyDescent="0.2">
      <c r="A154" s="170" t="str">
        <f>Liste[[#This Row],[Siren]]</f>
        <v>799730759</v>
      </c>
      <c r="B154" s="198" t="str">
        <f>Liste[[#This Row],[Dénomination]]&amp;" - comptes "&amp;YEAR(Liste[[#This Row],[Date de cloture de l''exercice]])</f>
        <v>GROUPE WINNCARE - comptes 2017</v>
      </c>
      <c r="C154" s="21"/>
      <c r="D154" s="21"/>
      <c r="E154" s="168">
        <v>16000</v>
      </c>
      <c r="F154" s="168">
        <v>1360000</v>
      </c>
      <c r="G154" s="168">
        <v>1396000</v>
      </c>
      <c r="H154" s="168">
        <v>1377000</v>
      </c>
      <c r="I154" s="168">
        <v>11744000</v>
      </c>
      <c r="J154" s="168">
        <v>7723000</v>
      </c>
      <c r="K154" s="168">
        <v>7712000</v>
      </c>
      <c r="L154" s="168">
        <v>19467000</v>
      </c>
      <c r="M154" s="168">
        <v>25000</v>
      </c>
      <c r="N154" s="168">
        <v>199000</v>
      </c>
      <c r="O154" s="168">
        <v>163000</v>
      </c>
      <c r="P154" s="168">
        <v>224000</v>
      </c>
      <c r="Q154" s="168">
        <v>2634000</v>
      </c>
      <c r="R154" s="168">
        <v>1394000</v>
      </c>
      <c r="S154" s="168">
        <v>1060000</v>
      </c>
      <c r="T154" s="168">
        <v>4029000</v>
      </c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168">
        <v>11920000</v>
      </c>
      <c r="CE154" s="168">
        <v>14703000</v>
      </c>
      <c r="CF154" s="168">
        <v>18539000</v>
      </c>
      <c r="CG154" s="168">
        <v>26624000</v>
      </c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168">
        <v>26323000</v>
      </c>
      <c r="EL154" s="168">
        <v>24020000</v>
      </c>
      <c r="EM154" s="168">
        <v>27474000</v>
      </c>
      <c r="EN154" s="168">
        <v>50344000</v>
      </c>
      <c r="EO154" s="168">
        <v>1085000</v>
      </c>
      <c r="EP154" s="168">
        <v>19631000</v>
      </c>
      <c r="EQ154" s="168">
        <v>17938000</v>
      </c>
      <c r="ER154" s="168">
        <v>20717000</v>
      </c>
      <c r="ES154" s="168">
        <v>27409000</v>
      </c>
      <c r="ET154" s="168">
        <v>46121000</v>
      </c>
      <c r="EU154" s="168">
        <v>47996000</v>
      </c>
      <c r="EV154" s="168">
        <v>73531000</v>
      </c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168">
        <v>-657000</v>
      </c>
      <c r="FJ154" s="168">
        <v>-319000</v>
      </c>
      <c r="FK154" s="21"/>
      <c r="FL154" s="21"/>
      <c r="FM154" s="21"/>
      <c r="FN154" s="21"/>
      <c r="FO154" s="21"/>
      <c r="FP154" s="21"/>
      <c r="FQ154" s="168">
        <v>-3836000</v>
      </c>
      <c r="FR154" s="168">
        <v>-3603000</v>
      </c>
      <c r="FS154" s="21"/>
      <c r="FT154" s="21"/>
      <c r="FU154" s="168">
        <v>245000</v>
      </c>
      <c r="FV154" s="168">
        <v>-26000</v>
      </c>
      <c r="FW154" s="168">
        <v>-1496000</v>
      </c>
      <c r="FX154" s="168">
        <v>-1312000</v>
      </c>
      <c r="FY154" s="21"/>
      <c r="FZ154" s="21"/>
      <c r="GA154" s="21"/>
      <c r="GB154" s="21"/>
      <c r="GC154" s="21"/>
      <c r="GD154" s="21"/>
      <c r="GE154" s="21"/>
      <c r="GF154" s="21"/>
      <c r="GG154" s="21"/>
      <c r="GH154" s="21"/>
      <c r="GI154" s="21"/>
      <c r="GJ154" s="21"/>
      <c r="GK154" s="21"/>
      <c r="GL154" s="21"/>
      <c r="GM154" s="168">
        <v>-1116000</v>
      </c>
      <c r="GN154" s="168">
        <v>-575000</v>
      </c>
      <c r="GO154" s="168">
        <v>2719000</v>
      </c>
      <c r="GP154" s="168">
        <v>3027000</v>
      </c>
      <c r="GQ154" s="21"/>
      <c r="GR154" s="21"/>
      <c r="GS154" s="168">
        <v>-1116000</v>
      </c>
      <c r="GT154" s="168">
        <v>-575000</v>
      </c>
      <c r="GU154" s="21"/>
      <c r="GV154" s="21"/>
      <c r="GW154" s="21"/>
      <c r="GX154" s="21"/>
      <c r="GY154" s="21"/>
      <c r="GZ154" s="21"/>
      <c r="HA154" s="21"/>
      <c r="HB154" s="21"/>
      <c r="HC154" s="168">
        <v>-9687000</v>
      </c>
      <c r="HD154" s="168">
        <v>-8432000</v>
      </c>
      <c r="HE154" s="168">
        <v>4000</v>
      </c>
      <c r="HF154" s="168">
        <v>-91000</v>
      </c>
      <c r="HG154" s="21"/>
      <c r="HH154" s="21"/>
      <c r="HI154" s="168">
        <v>628000</v>
      </c>
      <c r="HJ154" s="168">
        <v>570000</v>
      </c>
      <c r="HK154" s="21"/>
      <c r="HL154" s="21"/>
      <c r="HM154" s="21"/>
      <c r="HN154" s="21"/>
      <c r="HO154" s="21"/>
      <c r="HP154" s="21"/>
      <c r="HQ154" s="21"/>
      <c r="HR154" s="21"/>
      <c r="HS154" s="21"/>
      <c r="HT154" s="21"/>
      <c r="HU154" s="168">
        <v>-1279000</v>
      </c>
      <c r="HV154" s="168">
        <v>-1152000</v>
      </c>
      <c r="HW154" s="168">
        <v>-305000</v>
      </c>
      <c r="HX154" s="168">
        <v>-222000</v>
      </c>
      <c r="HY154" s="21"/>
      <c r="HZ154" s="21"/>
      <c r="IA154" s="21"/>
      <c r="IB154" s="21"/>
      <c r="IC154" s="21"/>
      <c r="ID154" s="21"/>
      <c r="IE154" s="168">
        <v>-1294000</v>
      </c>
      <c r="IF154" s="168">
        <v>-1134000</v>
      </c>
      <c r="IG154" s="21"/>
      <c r="IH154" s="21"/>
      <c r="II154" s="21"/>
      <c r="IJ154" s="21"/>
      <c r="IK154" s="21"/>
      <c r="IL154" s="21"/>
      <c r="IM154" s="21"/>
      <c r="IN154" s="21"/>
      <c r="IO154" s="21"/>
      <c r="IP154" s="21"/>
      <c r="IQ154" s="21"/>
      <c r="IR154" s="21"/>
      <c r="IS154" s="21"/>
      <c r="IT154" s="21"/>
      <c r="IU154" s="168">
        <v>4627000</v>
      </c>
      <c r="IV154" s="168">
        <v>4684000</v>
      </c>
      <c r="IW154" s="168">
        <v>5468000</v>
      </c>
      <c r="IX154" s="168">
        <v>5783000</v>
      </c>
      <c r="IY154" s="168">
        <v>-841000</v>
      </c>
      <c r="IZ154" s="168">
        <v>-1099000</v>
      </c>
      <c r="JA154" s="21"/>
      <c r="JB154" s="21"/>
      <c r="JC154" s="21"/>
      <c r="JD154" s="21"/>
      <c r="JE154" s="21"/>
      <c r="JF154" s="21"/>
      <c r="JG154" s="21"/>
      <c r="JH154" s="21"/>
      <c r="JI154" s="168">
        <v>-54618000</v>
      </c>
      <c r="JJ154" s="168">
        <v>-47751000</v>
      </c>
      <c r="JK154" s="21"/>
      <c r="JL154" s="21"/>
      <c r="JM154" s="168">
        <v>60086000</v>
      </c>
      <c r="JN154" s="168">
        <v>53535000</v>
      </c>
      <c r="JO154" s="168">
        <v>-841000</v>
      </c>
      <c r="JP154" s="168">
        <v>-1099000</v>
      </c>
      <c r="JQ154" s="21"/>
      <c r="JR154" s="21"/>
      <c r="JS154" s="21"/>
      <c r="JT154" s="21"/>
      <c r="JU154" s="21"/>
      <c r="JV154" s="21"/>
      <c r="JW154" s="168">
        <v>59312000</v>
      </c>
      <c r="JX154" s="168">
        <v>52994000</v>
      </c>
      <c r="JY154" s="21"/>
      <c r="JZ154" s="21"/>
      <c r="KA154" s="21"/>
      <c r="KB154" s="21"/>
      <c r="KC154" s="21"/>
      <c r="KD154" s="21"/>
      <c r="KE154" s="21"/>
      <c r="KF154" s="21"/>
      <c r="KG154" s="21"/>
      <c r="KH154" s="21"/>
      <c r="KI154" s="21"/>
      <c r="KJ154" s="21"/>
      <c r="KK154" s="21"/>
      <c r="KL154" s="21"/>
      <c r="KM154" s="21"/>
      <c r="KN154" s="21"/>
      <c r="KO154" s="21"/>
      <c r="KP154" s="21"/>
      <c r="KQ154" s="168">
        <v>927000</v>
      </c>
      <c r="KR154" s="168">
        <v>1093000</v>
      </c>
      <c r="KS154" s="21"/>
      <c r="KT154" s="21"/>
      <c r="KU154" s="21"/>
      <c r="KV154" s="21"/>
      <c r="KW154" s="21"/>
      <c r="KX154" s="21"/>
      <c r="KY154" s="21"/>
      <c r="KZ154" s="21"/>
      <c r="LA154" s="168">
        <v>18607000</v>
      </c>
      <c r="LB154" s="168">
        <v>18607000</v>
      </c>
      <c r="LC154" s="21"/>
      <c r="LD154" s="21"/>
      <c r="LE154" s="21"/>
      <c r="LF154" s="21"/>
      <c r="LG154" s="21"/>
      <c r="LH154" s="21"/>
      <c r="LI154" s="168">
        <v>4491000</v>
      </c>
      <c r="LJ154" s="168">
        <v>4509000</v>
      </c>
      <c r="LK154" s="21"/>
      <c r="LL154" s="21"/>
      <c r="LM154" s="21"/>
      <c r="LN154" s="21"/>
      <c r="LO154" s="21"/>
      <c r="LP154" s="21"/>
      <c r="LQ154" s="21"/>
      <c r="LR154" s="21"/>
      <c r="LS154" s="21"/>
      <c r="LT154" s="21"/>
      <c r="LU154" s="21"/>
      <c r="LV154" s="21"/>
      <c r="LW154" s="21"/>
      <c r="LX154" s="21"/>
      <c r="LY154" s="21"/>
      <c r="LZ154" s="21"/>
      <c r="MA154" s="168">
        <v>17029000</v>
      </c>
      <c r="MB154" s="168">
        <v>10227000</v>
      </c>
      <c r="MC154" s="168">
        <v>121000</v>
      </c>
      <c r="MD154" s="168">
        <v>204000</v>
      </c>
      <c r="ME154" s="21"/>
      <c r="MF154" s="168">
        <v>6656000</v>
      </c>
      <c r="MG154" s="168">
        <v>279000</v>
      </c>
      <c r="MH154" s="168">
        <v>517000</v>
      </c>
      <c r="MI154" s="21"/>
      <c r="MJ154" s="21"/>
      <c r="MK154" s="21"/>
      <c r="ML154" s="21"/>
      <c r="MM154" s="21"/>
      <c r="MN154" s="21"/>
      <c r="MO154" s="21"/>
      <c r="MP154" s="21"/>
      <c r="MQ154" s="21"/>
      <c r="MR154" s="21"/>
      <c r="MS154" s="21"/>
      <c r="MT154" s="21"/>
      <c r="MU154" s="21"/>
      <c r="MV154" s="21"/>
      <c r="MW154" s="21"/>
      <c r="MX154" s="21"/>
      <c r="MY154" s="21"/>
      <c r="MZ154" s="21"/>
      <c r="NA154" s="21"/>
      <c r="NB154" s="21"/>
      <c r="NC154" s="168">
        <v>-1116000</v>
      </c>
      <c r="ND154" s="168">
        <v>-575000</v>
      </c>
      <c r="NE154" s="21"/>
      <c r="NF154" s="21"/>
      <c r="NG154" s="168">
        <v>16405000</v>
      </c>
      <c r="NH154" s="168">
        <v>17549000</v>
      </c>
      <c r="NI154" s="21"/>
      <c r="NJ154" s="21"/>
      <c r="NK154" s="21"/>
      <c r="NL154" s="21"/>
      <c r="NM154" s="168">
        <v>28211000</v>
      </c>
      <c r="NN154" s="168">
        <v>28595000</v>
      </c>
      <c r="NO154" s="168">
        <v>46121000</v>
      </c>
      <c r="NP154" s="168">
        <v>47996000</v>
      </c>
      <c r="NQ154" s="168" t="s">
        <v>845</v>
      </c>
      <c r="NR154" s="168" t="s">
        <v>769</v>
      </c>
      <c r="NS154" s="168" t="s">
        <v>770</v>
      </c>
      <c r="NT154" s="168" t="s">
        <v>771</v>
      </c>
      <c r="NU154" s="168">
        <v>9201</v>
      </c>
      <c r="NV154" s="168" t="s">
        <v>2104</v>
      </c>
      <c r="NW154" s="168" t="s">
        <v>28</v>
      </c>
      <c r="NX154" s="168" t="s">
        <v>25</v>
      </c>
      <c r="NY154" s="169">
        <v>42825</v>
      </c>
      <c r="NZ154" s="169">
        <v>42460</v>
      </c>
      <c r="OA154" s="169">
        <v>43102</v>
      </c>
      <c r="OB154" s="168" t="s">
        <v>3307</v>
      </c>
      <c r="OC154" s="168">
        <v>12</v>
      </c>
      <c r="OD154" s="168" t="s">
        <v>2105</v>
      </c>
      <c r="OE154" s="168" t="s">
        <v>2110</v>
      </c>
      <c r="OF154" s="168" t="s">
        <v>3308</v>
      </c>
      <c r="OG154" s="168" t="s">
        <v>3309</v>
      </c>
      <c r="OH154" s="168" t="s">
        <v>777</v>
      </c>
      <c r="OI154" s="168" t="s">
        <v>766</v>
      </c>
      <c r="OJ154" s="168" t="s">
        <v>3240</v>
      </c>
      <c r="OK154" s="168" t="s">
        <v>767</v>
      </c>
    </row>
    <row r="155" spans="1:401" x14ac:dyDescent="0.2">
      <c r="A155" s="170" t="str">
        <f>Liste[[#This Row],[Siren]]</f>
        <v>824646764</v>
      </c>
      <c r="B155" s="198" t="str">
        <f>Liste[[#This Row],[Dénomination]]&amp;" - comptes "&amp;YEAR(Liste[[#This Row],[Date de cloture de l''exercice]])</f>
        <v>ALTENOV - comptes 2017</v>
      </c>
      <c r="C155" s="21"/>
      <c r="D155" s="21"/>
      <c r="E155" s="21"/>
      <c r="F155" s="168">
        <v>5573000</v>
      </c>
      <c r="G155" s="21"/>
      <c r="H155" s="168">
        <v>5573000</v>
      </c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168">
        <v>140000</v>
      </c>
      <c r="BD155" s="168">
        <v>12079000</v>
      </c>
      <c r="BE155" s="21"/>
      <c r="BF155" s="168">
        <v>12219000</v>
      </c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168">
        <v>3255000</v>
      </c>
      <c r="BY155" s="21"/>
      <c r="BZ155" s="168">
        <v>3255000</v>
      </c>
      <c r="CA155" s="21"/>
      <c r="CB155" s="21"/>
      <c r="CC155" s="21"/>
      <c r="CD155" s="21"/>
      <c r="CE155" s="168">
        <v>4100000</v>
      </c>
      <c r="CF155" s="21"/>
      <c r="CG155" s="168">
        <v>4100000</v>
      </c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168">
        <v>5353000</v>
      </c>
      <c r="EL155" s="168">
        <v>4861000</v>
      </c>
      <c r="EM155" s="21"/>
      <c r="EN155" s="168">
        <v>10214000</v>
      </c>
      <c r="EO155" s="168">
        <v>326000</v>
      </c>
      <c r="EP155" s="168">
        <v>23620000</v>
      </c>
      <c r="EQ155" s="21"/>
      <c r="ER155" s="168">
        <v>23946000</v>
      </c>
      <c r="ES155" s="168">
        <v>5678000</v>
      </c>
      <c r="ET155" s="168">
        <v>28481000</v>
      </c>
      <c r="EU155" s="21"/>
      <c r="EV155" s="168">
        <v>34159000</v>
      </c>
      <c r="EW155" s="21"/>
      <c r="EX155" s="21"/>
      <c r="EY155" s="21"/>
      <c r="EZ155" s="21"/>
      <c r="FA155" s="21"/>
      <c r="FB155" s="21"/>
      <c r="FC155" s="21"/>
      <c r="FD155" s="21"/>
      <c r="FE155" s="21"/>
      <c r="FF155" s="168">
        <v>1730000</v>
      </c>
      <c r="FG155" s="21"/>
      <c r="FH155" s="168">
        <v>1730000</v>
      </c>
      <c r="FI155" s="21"/>
      <c r="FJ155" s="21"/>
      <c r="FK155" s="21"/>
      <c r="FL155" s="21"/>
      <c r="FM155" s="21"/>
      <c r="FN155" s="21"/>
      <c r="FO155" s="21"/>
      <c r="FP155" s="21"/>
      <c r="FQ155" s="21"/>
      <c r="FR155" s="21"/>
      <c r="FS155" s="21"/>
      <c r="FT155" s="21"/>
      <c r="FU155" s="21"/>
      <c r="FV155" s="21"/>
      <c r="FW155" s="21"/>
      <c r="FX155" s="21"/>
      <c r="FY155" s="21"/>
      <c r="FZ155" s="21"/>
      <c r="GA155" s="21"/>
      <c r="GB155" s="21"/>
      <c r="GC155" s="21"/>
      <c r="GD155" s="21"/>
      <c r="GE155" s="21"/>
      <c r="GF155" s="21"/>
      <c r="GG155" s="21"/>
      <c r="GH155" s="21"/>
      <c r="GI155" s="21"/>
      <c r="GJ155" s="21"/>
      <c r="GK155" s="21"/>
      <c r="GL155" s="21"/>
      <c r="GM155" s="168">
        <v>-28000</v>
      </c>
      <c r="GN155" s="21"/>
      <c r="GO155" s="21"/>
      <c r="GP155" s="21"/>
      <c r="GQ155" s="21"/>
      <c r="GR155" s="21"/>
      <c r="GS155" s="168">
        <v>-28000</v>
      </c>
      <c r="GT155" s="21"/>
      <c r="GU155" s="21"/>
      <c r="GV155" s="21"/>
      <c r="GW155" s="21"/>
      <c r="GX155" s="21"/>
      <c r="GY155" s="21"/>
      <c r="GZ155" s="21"/>
      <c r="HA155" s="21"/>
      <c r="HB155" s="21"/>
      <c r="HC155" s="168">
        <v>32000</v>
      </c>
      <c r="HD155" s="21"/>
      <c r="HE155" s="21"/>
      <c r="HF155" s="21"/>
      <c r="HG155" s="21"/>
      <c r="HH155" s="21"/>
      <c r="HI155" s="21"/>
      <c r="HJ155" s="21"/>
      <c r="HK155" s="21"/>
      <c r="HL155" s="21"/>
      <c r="HM155" s="21"/>
      <c r="HN155" s="21"/>
      <c r="HO155" s="21"/>
      <c r="HP155" s="21"/>
      <c r="HQ155" s="21"/>
      <c r="HR155" s="21"/>
      <c r="HS155" s="21"/>
      <c r="HT155" s="21"/>
      <c r="HU155" s="21"/>
      <c r="HV155" s="21"/>
      <c r="HW155" s="21"/>
      <c r="HX155" s="21"/>
      <c r="HY155" s="21"/>
      <c r="HZ155" s="21"/>
      <c r="IA155" s="21"/>
      <c r="IB155" s="21"/>
      <c r="IC155" s="21"/>
      <c r="ID155" s="21"/>
      <c r="IE155" s="21"/>
      <c r="IF155" s="21"/>
      <c r="IG155" s="21"/>
      <c r="IH155" s="21"/>
      <c r="II155" s="21"/>
      <c r="IJ155" s="21"/>
      <c r="IK155" s="21"/>
      <c r="IL155" s="21"/>
      <c r="IM155" s="21"/>
      <c r="IN155" s="21"/>
      <c r="IO155" s="21"/>
      <c r="IP155" s="21"/>
      <c r="IQ155" s="21"/>
      <c r="IR155" s="21"/>
      <c r="IS155" s="21"/>
      <c r="IT155" s="21"/>
      <c r="IU155" s="168">
        <v>-29000</v>
      </c>
      <c r="IV155" s="21"/>
      <c r="IW155" s="168">
        <v>-29000</v>
      </c>
      <c r="IX155" s="21"/>
      <c r="IY155" s="21"/>
      <c r="IZ155" s="21"/>
      <c r="JA155" s="168">
        <v>4000</v>
      </c>
      <c r="JB155" s="21"/>
      <c r="JC155" s="21"/>
      <c r="JD155" s="21"/>
      <c r="JE155" s="21"/>
      <c r="JF155" s="21"/>
      <c r="JG155" s="21"/>
      <c r="JH155" s="21"/>
      <c r="JI155" s="168">
        <v>32000</v>
      </c>
      <c r="JJ155" s="21"/>
      <c r="JK155" s="21"/>
      <c r="JL155" s="21"/>
      <c r="JM155" s="168">
        <v>4000</v>
      </c>
      <c r="JN155" s="21"/>
      <c r="JO155" s="21"/>
      <c r="JP155" s="21"/>
      <c r="JQ155" s="21"/>
      <c r="JR155" s="21"/>
      <c r="JS155" s="21"/>
      <c r="JT155" s="21"/>
      <c r="JU155" s="21"/>
      <c r="JV155" s="21"/>
      <c r="JW155" s="21"/>
      <c r="JX155" s="21"/>
      <c r="JY155" s="21"/>
      <c r="JZ155" s="21"/>
      <c r="KA155" s="21"/>
      <c r="KB155" s="21"/>
      <c r="KC155" s="21"/>
      <c r="KD155" s="21"/>
      <c r="KE155" s="21"/>
      <c r="KF155" s="21"/>
      <c r="KG155" s="21"/>
      <c r="KH155" s="21"/>
      <c r="KI155" s="21"/>
      <c r="KJ155" s="21"/>
      <c r="KK155" s="21"/>
      <c r="KL155" s="21"/>
      <c r="KM155" s="21"/>
      <c r="KN155" s="21"/>
      <c r="KO155" s="21"/>
      <c r="KP155" s="21"/>
      <c r="KQ155" s="21"/>
      <c r="KR155" s="21"/>
      <c r="KS155" s="168">
        <v>450000</v>
      </c>
      <c r="KT155" s="21"/>
      <c r="KU155" s="21"/>
      <c r="KV155" s="21"/>
      <c r="KW155" s="21"/>
      <c r="KX155" s="21"/>
      <c r="KY155" s="21"/>
      <c r="KZ155" s="21"/>
      <c r="LA155" s="168">
        <v>6601000</v>
      </c>
      <c r="LB155" s="21"/>
      <c r="LC155" s="21"/>
      <c r="LD155" s="21"/>
      <c r="LE155" s="21"/>
      <c r="LF155" s="21"/>
      <c r="LG155" s="21"/>
      <c r="LH155" s="21"/>
      <c r="LI155" s="168">
        <v>5682000</v>
      </c>
      <c r="LJ155" s="21"/>
      <c r="LK155" s="168">
        <v>2895000</v>
      </c>
      <c r="LL155" s="21"/>
      <c r="LM155" s="21"/>
      <c r="LN155" s="21"/>
      <c r="LO155" s="21"/>
      <c r="LP155" s="21"/>
      <c r="LQ155" s="21"/>
      <c r="LR155" s="21"/>
      <c r="LS155" s="21"/>
      <c r="LT155" s="21"/>
      <c r="LU155" s="21"/>
      <c r="LV155" s="21"/>
      <c r="LW155" s="21"/>
      <c r="LX155" s="21"/>
      <c r="LY155" s="21"/>
      <c r="LZ155" s="21"/>
      <c r="MA155" s="21"/>
      <c r="MB155" s="21"/>
      <c r="MC155" s="168">
        <v>4306000</v>
      </c>
      <c r="MD155" s="21"/>
      <c r="ME155" s="21"/>
      <c r="MF155" s="21"/>
      <c r="MG155" s="21"/>
      <c r="MH155" s="21"/>
      <c r="MI155" s="21"/>
      <c r="MJ155" s="21"/>
      <c r="MK155" s="21"/>
      <c r="ML155" s="21"/>
      <c r="MM155" s="168">
        <v>3369000</v>
      </c>
      <c r="MN155" s="21"/>
      <c r="MO155" s="21"/>
      <c r="MP155" s="21"/>
      <c r="MQ155" s="21"/>
      <c r="MR155" s="21"/>
      <c r="MS155" s="21"/>
      <c r="MT155" s="21"/>
      <c r="MU155" s="21"/>
      <c r="MV155" s="21"/>
      <c r="MW155" s="21"/>
      <c r="MX155" s="21"/>
      <c r="MY155" s="21"/>
      <c r="MZ155" s="21"/>
      <c r="NA155" s="21"/>
      <c r="NB155" s="21"/>
      <c r="NC155" s="168">
        <v>-28000</v>
      </c>
      <c r="ND155" s="21"/>
      <c r="NE155" s="21"/>
      <c r="NF155" s="21"/>
      <c r="NG155" s="168">
        <v>6573000</v>
      </c>
      <c r="NH155" s="21"/>
      <c r="NI155" s="21"/>
      <c r="NJ155" s="21"/>
      <c r="NK155" s="21"/>
      <c r="NL155" s="21"/>
      <c r="NM155" s="168">
        <v>18009000</v>
      </c>
      <c r="NN155" s="21"/>
      <c r="NO155" s="168">
        <v>28481000</v>
      </c>
      <c r="NP155" s="21"/>
      <c r="NQ155" s="168" t="s">
        <v>1415</v>
      </c>
      <c r="NR155" s="168" t="s">
        <v>797</v>
      </c>
      <c r="NS155" s="168" t="s">
        <v>770</v>
      </c>
      <c r="NT155" s="168" t="s">
        <v>771</v>
      </c>
      <c r="NU155" s="168">
        <v>3501</v>
      </c>
      <c r="NV155" s="168" t="s">
        <v>2104</v>
      </c>
      <c r="NW155" s="168" t="s">
        <v>28</v>
      </c>
      <c r="NX155" s="168" t="s">
        <v>25</v>
      </c>
      <c r="NY155" s="169">
        <v>42825</v>
      </c>
      <c r="NZ155" s="169">
        <v>42460</v>
      </c>
      <c r="OA155" s="169">
        <v>43025</v>
      </c>
      <c r="OB155" s="168" t="s">
        <v>1548</v>
      </c>
      <c r="OC155" s="168">
        <v>12</v>
      </c>
      <c r="OD155" s="168" t="s">
        <v>2105</v>
      </c>
      <c r="OE155" s="168" t="s">
        <v>2475</v>
      </c>
      <c r="OF155" s="168" t="s">
        <v>2627</v>
      </c>
      <c r="OG155" s="168" t="s">
        <v>2080</v>
      </c>
      <c r="OH155" s="168" t="s">
        <v>834</v>
      </c>
      <c r="OI155" s="168" t="s">
        <v>766</v>
      </c>
      <c r="OJ155" s="168" t="s">
        <v>3240</v>
      </c>
      <c r="OK155" s="168" t="s">
        <v>796</v>
      </c>
    </row>
    <row r="156" spans="1:401" x14ac:dyDescent="0.2">
      <c r="A156" s="170" t="str">
        <f>Liste[[#This Row],[Siren]]</f>
        <v>440465698</v>
      </c>
      <c r="B156" s="198" t="str">
        <f>Liste[[#This Row],[Dénomination]]&amp;" - comptes "&amp;YEAR(Liste[[#This Row],[Date de cloture de l''exercice]])</f>
        <v>PRS PROFESSIONNELS DES RESEAUX SOUTERRAINS - comptes 2017</v>
      </c>
      <c r="C156" s="21"/>
      <c r="D156" s="21"/>
      <c r="E156" s="21"/>
      <c r="F156" s="168">
        <v>1124713</v>
      </c>
      <c r="G156" s="168">
        <v>796455</v>
      </c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168">
        <v>2608575</v>
      </c>
      <c r="BE156" s="168">
        <v>2763529</v>
      </c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168">
        <v>906960</v>
      </c>
      <c r="BY156" s="168">
        <v>674307</v>
      </c>
      <c r="BZ156" s="168">
        <v>-3</v>
      </c>
      <c r="CA156" s="21"/>
      <c r="CB156" s="21"/>
      <c r="CC156" s="21"/>
      <c r="CD156" s="21"/>
      <c r="CE156" s="168">
        <v>323407</v>
      </c>
      <c r="CF156" s="168">
        <v>431184</v>
      </c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168">
        <v>2444390</v>
      </c>
      <c r="EM156" s="168">
        <v>2612801</v>
      </c>
      <c r="EN156" s="21"/>
      <c r="EO156" s="21"/>
      <c r="EP156" s="168">
        <v>4948302</v>
      </c>
      <c r="EQ156" s="168">
        <v>4630803</v>
      </c>
      <c r="ER156" s="21"/>
      <c r="ES156" s="21"/>
      <c r="ET156" s="168">
        <v>7392691</v>
      </c>
      <c r="EU156" s="168">
        <v>7243604</v>
      </c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168">
        <v>10199</v>
      </c>
      <c r="FG156" s="168">
        <v>10199</v>
      </c>
      <c r="FH156" s="21"/>
      <c r="FI156" s="168">
        <v>28056</v>
      </c>
      <c r="FJ156" s="168">
        <v>57074</v>
      </c>
      <c r="FK156" s="168">
        <v>614946</v>
      </c>
      <c r="FL156" s="168">
        <v>152905</v>
      </c>
      <c r="FM156" s="21"/>
      <c r="FN156" s="21"/>
      <c r="FO156" s="21"/>
      <c r="FP156" s="21"/>
      <c r="FQ156" s="168">
        <v>-105052</v>
      </c>
      <c r="FR156" s="168">
        <v>-109777</v>
      </c>
      <c r="FS156" s="21"/>
      <c r="FT156" s="21"/>
      <c r="FU156" s="21"/>
      <c r="FV156" s="21"/>
      <c r="FW156" s="168">
        <v>-1420</v>
      </c>
      <c r="FX156" s="168">
        <v>-59081</v>
      </c>
      <c r="FY156" s="168">
        <v>5562</v>
      </c>
      <c r="FZ156" s="168">
        <v>-6240</v>
      </c>
      <c r="GA156" s="21"/>
      <c r="GB156" s="21"/>
      <c r="GC156" s="21"/>
      <c r="GD156" s="21"/>
      <c r="GE156" s="21"/>
      <c r="GF156" s="21"/>
      <c r="GG156" s="21"/>
      <c r="GH156" s="21"/>
      <c r="GI156" s="21"/>
      <c r="GJ156" s="21"/>
      <c r="GK156" s="21"/>
      <c r="GL156" s="21"/>
      <c r="GM156" s="168">
        <v>509894</v>
      </c>
      <c r="GN156" s="168">
        <v>43128</v>
      </c>
      <c r="GO156" s="21"/>
      <c r="GP156" s="21"/>
      <c r="GQ156" s="21"/>
      <c r="GR156" s="21"/>
      <c r="GS156" s="168">
        <v>504331</v>
      </c>
      <c r="GT156" s="168">
        <v>49369</v>
      </c>
      <c r="GU156" s="168">
        <v>-36970</v>
      </c>
      <c r="GV156" s="168">
        <v>-34077</v>
      </c>
      <c r="GW156" s="168">
        <v>65027</v>
      </c>
      <c r="GX156" s="168">
        <v>91150</v>
      </c>
      <c r="GY156" s="21"/>
      <c r="GZ156" s="21"/>
      <c r="HA156" s="21"/>
      <c r="HB156" s="21"/>
      <c r="HC156" s="21"/>
      <c r="HD156" s="21"/>
      <c r="HE156" s="21"/>
      <c r="HF156" s="21"/>
      <c r="HG156" s="21"/>
      <c r="HH156" s="21"/>
      <c r="HI156" s="168">
        <v>226734</v>
      </c>
      <c r="HJ156" s="168">
        <v>-369168</v>
      </c>
      <c r="HK156" s="21"/>
      <c r="HL156" s="21"/>
      <c r="HM156" s="21"/>
      <c r="HN156" s="21"/>
      <c r="HO156" s="21"/>
      <c r="HP156" s="21"/>
      <c r="HQ156" s="21"/>
      <c r="HR156" s="21"/>
      <c r="HS156" s="21"/>
      <c r="HT156" s="21"/>
      <c r="HU156" s="21"/>
      <c r="HV156" s="21"/>
      <c r="HW156" s="21"/>
      <c r="HX156" s="21"/>
      <c r="HY156" s="21"/>
      <c r="HZ156" s="21"/>
      <c r="IA156" s="21"/>
      <c r="IB156" s="21"/>
      <c r="IC156" s="21"/>
      <c r="ID156" s="21"/>
      <c r="IE156" s="168">
        <v>-234750</v>
      </c>
      <c r="IF156" s="168">
        <v>-214042</v>
      </c>
      <c r="IG156" s="21"/>
      <c r="IH156" s="21"/>
      <c r="II156" s="21"/>
      <c r="IJ156" s="21"/>
      <c r="IK156" s="21"/>
      <c r="IL156" s="21"/>
      <c r="IM156" s="21"/>
      <c r="IN156" s="21"/>
      <c r="IO156" s="21"/>
      <c r="IP156" s="21"/>
      <c r="IQ156" s="21"/>
      <c r="IR156" s="21"/>
      <c r="IS156" s="21"/>
      <c r="IT156" s="21"/>
      <c r="IU156" s="168">
        <v>588310</v>
      </c>
      <c r="IV156" s="168">
        <v>154913</v>
      </c>
      <c r="IW156" s="168">
        <v>773399</v>
      </c>
      <c r="IX156" s="168">
        <v>324968</v>
      </c>
      <c r="IY156" s="168">
        <v>-185090</v>
      </c>
      <c r="IZ156" s="168">
        <v>-170055</v>
      </c>
      <c r="JA156" s="21"/>
      <c r="JB156" s="21"/>
      <c r="JC156" s="21"/>
      <c r="JD156" s="21"/>
      <c r="JE156" s="168">
        <v>-4491092</v>
      </c>
      <c r="JF156" s="168">
        <v>-4438375</v>
      </c>
      <c r="JG156" s="21"/>
      <c r="JH156" s="21"/>
      <c r="JI156" s="168">
        <v>-12115420</v>
      </c>
      <c r="JJ156" s="168">
        <v>-11997644</v>
      </c>
      <c r="JK156" s="168">
        <v>-185977</v>
      </c>
      <c r="JL156" s="168">
        <v>-172228</v>
      </c>
      <c r="JM156" s="168">
        <v>12888819</v>
      </c>
      <c r="JN156" s="168">
        <v>12323130</v>
      </c>
      <c r="JO156" s="168">
        <v>887</v>
      </c>
      <c r="JP156" s="168">
        <v>2173</v>
      </c>
      <c r="JQ156" s="21"/>
      <c r="JR156" s="21"/>
      <c r="JS156" s="21"/>
      <c r="JT156" s="21"/>
      <c r="JU156" s="21"/>
      <c r="JV156" s="21"/>
      <c r="JW156" s="168">
        <v>12662086</v>
      </c>
      <c r="JX156" s="168">
        <v>12692297</v>
      </c>
      <c r="JY156" s="21"/>
      <c r="JZ156" s="21"/>
      <c r="KA156" s="21"/>
      <c r="KB156" s="21"/>
      <c r="KC156" s="21"/>
      <c r="KD156" s="21"/>
      <c r="KE156" s="21"/>
      <c r="KF156" s="21"/>
      <c r="KG156" s="21"/>
      <c r="KH156" s="21"/>
      <c r="KI156" s="21"/>
      <c r="KJ156" s="21"/>
      <c r="KK156" s="21"/>
      <c r="KL156" s="21"/>
      <c r="KM156" s="21"/>
      <c r="KN156" s="21"/>
      <c r="KO156" s="21"/>
      <c r="KP156" s="21"/>
      <c r="KQ156" s="21"/>
      <c r="KR156" s="21"/>
      <c r="KS156" s="21"/>
      <c r="KT156" s="21"/>
      <c r="KU156" s="21"/>
      <c r="KV156" s="21"/>
      <c r="KW156" s="21"/>
      <c r="KX156" s="21"/>
      <c r="KY156" s="21"/>
      <c r="KZ156" s="21"/>
      <c r="LA156" s="168">
        <v>1000217</v>
      </c>
      <c r="LB156" s="168">
        <v>1000217</v>
      </c>
      <c r="LC156" s="21"/>
      <c r="LD156" s="21"/>
      <c r="LE156" s="21"/>
      <c r="LF156" s="21"/>
      <c r="LG156" s="21"/>
      <c r="LH156" s="21"/>
      <c r="LI156" s="21"/>
      <c r="LJ156" s="21"/>
      <c r="LK156" s="168">
        <v>1391147</v>
      </c>
      <c r="LL156" s="168">
        <v>1198765</v>
      </c>
      <c r="LM156" s="21"/>
      <c r="LN156" s="21"/>
      <c r="LO156" s="21"/>
      <c r="LP156" s="21"/>
      <c r="LQ156" s="21"/>
      <c r="LR156" s="21"/>
      <c r="LS156" s="21"/>
      <c r="LT156" s="21"/>
      <c r="LU156" s="21"/>
      <c r="LV156" s="21"/>
      <c r="LW156" s="21"/>
      <c r="LX156" s="21"/>
      <c r="LY156" s="21"/>
      <c r="LZ156" s="21"/>
      <c r="MA156" s="21"/>
      <c r="MB156" s="21"/>
      <c r="MC156" s="168">
        <v>4259676</v>
      </c>
      <c r="MD156" s="168">
        <v>4807433</v>
      </c>
      <c r="ME156" s="21"/>
      <c r="MF156" s="21"/>
      <c r="MG156" s="168">
        <v>189638</v>
      </c>
      <c r="MH156" s="168">
        <v>44952</v>
      </c>
      <c r="MI156" s="168">
        <v>536970</v>
      </c>
      <c r="MJ156" s="168">
        <v>536970</v>
      </c>
      <c r="MK156" s="21"/>
      <c r="ML156" s="21"/>
      <c r="MM156" s="21"/>
      <c r="MN156" s="21"/>
      <c r="MO156" s="21"/>
      <c r="MP156" s="21"/>
      <c r="MQ156" s="21"/>
      <c r="MR156" s="21"/>
      <c r="MS156" s="21"/>
      <c r="MT156" s="21"/>
      <c r="MU156" s="21"/>
      <c r="MV156" s="21"/>
      <c r="MW156" s="21"/>
      <c r="MX156" s="21"/>
      <c r="MY156" s="21"/>
      <c r="MZ156" s="21"/>
      <c r="NA156" s="21"/>
      <c r="NB156" s="21"/>
      <c r="NC156" s="168">
        <v>504331</v>
      </c>
      <c r="ND156" s="168">
        <v>49369</v>
      </c>
      <c r="NE156" s="21"/>
      <c r="NF156" s="21"/>
      <c r="NG156" s="168">
        <v>404160</v>
      </c>
      <c r="NH156" s="168">
        <v>93451</v>
      </c>
      <c r="NI156" s="21"/>
      <c r="NJ156" s="21"/>
      <c r="NK156" s="21"/>
      <c r="NL156" s="21"/>
      <c r="NM156" s="168">
        <v>6768219</v>
      </c>
      <c r="NN156" s="168">
        <v>7114363</v>
      </c>
      <c r="NO156" s="168">
        <v>7392691</v>
      </c>
      <c r="NP156" s="168">
        <v>7243604</v>
      </c>
      <c r="NQ156" s="168" t="s">
        <v>1549</v>
      </c>
      <c r="NR156" s="168" t="s">
        <v>769</v>
      </c>
      <c r="NS156" s="168" t="s">
        <v>770</v>
      </c>
      <c r="NT156" s="168" t="s">
        <v>771</v>
      </c>
      <c r="NU156" s="168">
        <v>6303</v>
      </c>
      <c r="NV156" s="168" t="s">
        <v>2104</v>
      </c>
      <c r="NW156" s="168" t="s">
        <v>28</v>
      </c>
      <c r="NX156" s="168" t="s">
        <v>25</v>
      </c>
      <c r="NY156" s="169">
        <v>42825</v>
      </c>
      <c r="NZ156" s="169">
        <v>42460</v>
      </c>
      <c r="OA156" s="169">
        <v>43012</v>
      </c>
      <c r="OB156" s="168" t="s">
        <v>1550</v>
      </c>
      <c r="OC156" s="168">
        <v>12</v>
      </c>
      <c r="OD156" s="168" t="s">
        <v>2105</v>
      </c>
      <c r="OE156" s="168" t="s">
        <v>2628</v>
      </c>
      <c r="OF156" s="168" t="s">
        <v>2629</v>
      </c>
      <c r="OG156" s="168" t="s">
        <v>2081</v>
      </c>
      <c r="OH156" s="168" t="s">
        <v>969</v>
      </c>
      <c r="OI156" s="168" t="s">
        <v>766</v>
      </c>
      <c r="OJ156" s="168" t="s">
        <v>3240</v>
      </c>
      <c r="OK156" s="168" t="s">
        <v>767</v>
      </c>
    </row>
    <row r="157" spans="1:401" x14ac:dyDescent="0.2">
      <c r="A157" s="170" t="str">
        <f>Liste[[#This Row],[Siren]]</f>
        <v>388243610</v>
      </c>
      <c r="B157" s="198" t="str">
        <f>Liste[[#This Row],[Dénomination]]&amp;" - comptes "&amp;YEAR(Liste[[#This Row],[Date de cloture de l''exercice]])</f>
        <v>LLA GESTION ET PARTICIPATIONS - comptes 2017</v>
      </c>
      <c r="C157" s="21"/>
      <c r="D157" s="21"/>
      <c r="E157" s="21"/>
      <c r="F157" s="168">
        <v>1862066</v>
      </c>
      <c r="G157" s="168">
        <v>1714406</v>
      </c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168">
        <v>599199</v>
      </c>
      <c r="BY157" s="168">
        <v>333005</v>
      </c>
      <c r="BZ157" s="21"/>
      <c r="CA157" s="21"/>
      <c r="CB157" s="21"/>
      <c r="CC157" s="21"/>
      <c r="CD157" s="21"/>
      <c r="CE157" s="168">
        <v>287053</v>
      </c>
      <c r="CF157" s="168">
        <v>160723</v>
      </c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168">
        <v>9675352</v>
      </c>
      <c r="EM157" s="168">
        <v>5930729</v>
      </c>
      <c r="EN157" s="21"/>
      <c r="EO157" s="21"/>
      <c r="EP157" s="168">
        <v>69723390</v>
      </c>
      <c r="EQ157" s="168">
        <v>62837924</v>
      </c>
      <c r="ER157" s="21"/>
      <c r="ES157" s="21"/>
      <c r="ET157" s="168">
        <v>79398742</v>
      </c>
      <c r="EU157" s="168">
        <v>68768653</v>
      </c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168">
        <v>136698</v>
      </c>
      <c r="FJ157" s="168">
        <v>-265525</v>
      </c>
      <c r="FK157" s="21"/>
      <c r="FL157" s="21"/>
      <c r="FM157" s="21"/>
      <c r="FN157" s="21"/>
      <c r="FO157" s="21"/>
      <c r="FP157" s="21"/>
      <c r="FQ157" s="168">
        <v>-89095</v>
      </c>
      <c r="FR157" s="168">
        <v>-342303</v>
      </c>
      <c r="FS157" s="21"/>
      <c r="FT157" s="21"/>
      <c r="FU157" s="168">
        <v>6969</v>
      </c>
      <c r="FV157" s="168">
        <v>-270636</v>
      </c>
      <c r="FW157" s="21"/>
      <c r="FX157" s="21"/>
      <c r="FY157" s="21"/>
      <c r="FZ157" s="21"/>
      <c r="GA157" s="21"/>
      <c r="GB157" s="21"/>
      <c r="GC157" s="21"/>
      <c r="GD157" s="21"/>
      <c r="GE157" s="21"/>
      <c r="GF157" s="21"/>
      <c r="GG157" s="21"/>
      <c r="GH157" s="21"/>
      <c r="GI157" s="21"/>
      <c r="GJ157" s="21"/>
      <c r="GK157" s="21"/>
      <c r="GL157" s="21"/>
      <c r="GM157" s="168">
        <v>467497</v>
      </c>
      <c r="GN157" s="168">
        <v>-142626</v>
      </c>
      <c r="GO157" s="168">
        <v>378402</v>
      </c>
      <c r="GP157" s="168">
        <v>-484929</v>
      </c>
      <c r="GQ157" s="21"/>
      <c r="GR157" s="21"/>
      <c r="GS157" s="168">
        <v>467497</v>
      </c>
      <c r="GT157" s="168">
        <v>-142626</v>
      </c>
      <c r="GU157" s="21"/>
      <c r="GV157" s="21"/>
      <c r="GW157" s="21"/>
      <c r="GX157" s="21"/>
      <c r="GY157" s="21"/>
      <c r="GZ157" s="21"/>
      <c r="HA157" s="21"/>
      <c r="HB157" s="21"/>
      <c r="HC157" s="21"/>
      <c r="HD157" s="21"/>
      <c r="HE157" s="168">
        <v>6373522</v>
      </c>
      <c r="HF157" s="168">
        <v>5156724</v>
      </c>
      <c r="HG157" s="21"/>
      <c r="HH157" s="21"/>
      <c r="HI157" s="168">
        <v>450648</v>
      </c>
      <c r="HJ157" s="168">
        <v>647650</v>
      </c>
      <c r="HK157" s="21"/>
      <c r="HL157" s="21"/>
      <c r="HM157" s="21"/>
      <c r="HN157" s="21"/>
      <c r="HO157" s="21"/>
      <c r="HP157" s="21"/>
      <c r="HQ157" s="21"/>
      <c r="HR157" s="21"/>
      <c r="HS157" s="21"/>
      <c r="HT157" s="21"/>
      <c r="HU157" s="168">
        <v>837825</v>
      </c>
      <c r="HV157" s="168">
        <v>1228639</v>
      </c>
      <c r="HW157" s="21"/>
      <c r="HX157" s="21"/>
      <c r="HY157" s="21"/>
      <c r="HZ157" s="21"/>
      <c r="IA157" s="21"/>
      <c r="IB157" s="21"/>
      <c r="IC157" s="21"/>
      <c r="ID157" s="21"/>
      <c r="IE157" s="168">
        <v>280259</v>
      </c>
      <c r="IF157" s="168">
        <v>330768</v>
      </c>
      <c r="IG157" s="21"/>
      <c r="IH157" s="21"/>
      <c r="II157" s="21"/>
      <c r="IJ157" s="21"/>
      <c r="IK157" s="21"/>
      <c r="IL157" s="21"/>
      <c r="IM157" s="21"/>
      <c r="IN157" s="21"/>
      <c r="IO157" s="21"/>
      <c r="IP157" s="21"/>
      <c r="IQ157" s="21"/>
      <c r="IR157" s="21"/>
      <c r="IS157" s="21"/>
      <c r="IT157" s="21"/>
      <c r="IU157" s="168">
        <v>248673</v>
      </c>
      <c r="IV157" s="168">
        <v>-490040</v>
      </c>
      <c r="IW157" s="168">
        <v>546915</v>
      </c>
      <c r="IX157" s="168">
        <v>-176731</v>
      </c>
      <c r="IY157" s="168">
        <v>-298242</v>
      </c>
      <c r="IZ157" s="168">
        <v>-313309</v>
      </c>
      <c r="JA157" s="21"/>
      <c r="JB157" s="21"/>
      <c r="JC157" s="21"/>
      <c r="JD157" s="21"/>
      <c r="JE157" s="21"/>
      <c r="JF157" s="21"/>
      <c r="JG157" s="21"/>
      <c r="JH157" s="21"/>
      <c r="JI157" s="168">
        <v>42153794</v>
      </c>
      <c r="JJ157" s="168">
        <v>44064098</v>
      </c>
      <c r="JK157" s="168">
        <v>298832</v>
      </c>
      <c r="JL157" s="168">
        <v>318669</v>
      </c>
      <c r="JM157" s="168">
        <v>42700709</v>
      </c>
      <c r="JN157" s="168">
        <v>43887367</v>
      </c>
      <c r="JO157" s="168">
        <v>590</v>
      </c>
      <c r="JP157" s="168">
        <v>5360</v>
      </c>
      <c r="JQ157" s="21"/>
      <c r="JR157" s="21"/>
      <c r="JS157" s="21"/>
      <c r="JT157" s="21"/>
      <c r="JU157" s="21"/>
      <c r="JV157" s="21"/>
      <c r="JW157" s="168">
        <v>42250061</v>
      </c>
      <c r="JX157" s="168">
        <v>43239717</v>
      </c>
      <c r="JY157" s="21"/>
      <c r="JZ157" s="21"/>
      <c r="KA157" s="21"/>
      <c r="KB157" s="21"/>
      <c r="KC157" s="21"/>
      <c r="KD157" s="21"/>
      <c r="KE157" s="21"/>
      <c r="KF157" s="21"/>
      <c r="KG157" s="21"/>
      <c r="KH157" s="21"/>
      <c r="KI157" s="21"/>
      <c r="KJ157" s="21"/>
      <c r="KK157" s="168">
        <v>800220</v>
      </c>
      <c r="KL157" s="168">
        <v>807039</v>
      </c>
      <c r="KM157" s="21"/>
      <c r="KN157" s="21"/>
      <c r="KO157" s="21"/>
      <c r="KP157" s="21"/>
      <c r="KQ157" s="168">
        <v>2455268</v>
      </c>
      <c r="KR157" s="168">
        <v>1418391</v>
      </c>
      <c r="KS157" s="21"/>
      <c r="KT157" s="21"/>
      <c r="KU157" s="21"/>
      <c r="KV157" s="21"/>
      <c r="KW157" s="21"/>
      <c r="KX157" s="21"/>
      <c r="KY157" s="21"/>
      <c r="KZ157" s="21"/>
      <c r="LA157" s="168">
        <v>4064688</v>
      </c>
      <c r="LB157" s="168">
        <v>3693954</v>
      </c>
      <c r="LC157" s="21"/>
      <c r="LD157" s="21"/>
      <c r="LE157" s="21"/>
      <c r="LF157" s="21"/>
      <c r="LG157" s="21"/>
      <c r="LH157" s="21"/>
      <c r="LI157" s="21"/>
      <c r="LJ157" s="21"/>
      <c r="LK157" s="21"/>
      <c r="LL157" s="21"/>
      <c r="LM157" s="21"/>
      <c r="LN157" s="21"/>
      <c r="LO157" s="21"/>
      <c r="LP157" s="21"/>
      <c r="LQ157" s="21"/>
      <c r="LR157" s="21"/>
      <c r="LS157" s="21"/>
      <c r="LT157" s="21"/>
      <c r="LU157" s="168">
        <v>-23857</v>
      </c>
      <c r="LV157" s="168">
        <v>-20900</v>
      </c>
      <c r="LW157" s="21"/>
      <c r="LX157" s="21"/>
      <c r="LY157" s="21"/>
      <c r="LZ157" s="21"/>
      <c r="MA157" s="168">
        <v>19626598</v>
      </c>
      <c r="MB157" s="168">
        <v>20437429</v>
      </c>
      <c r="MC157" s="168">
        <v>7743912</v>
      </c>
      <c r="MD157" s="168">
        <v>5336907</v>
      </c>
      <c r="ME157" s="21"/>
      <c r="MF157" s="21"/>
      <c r="MG157" s="168">
        <v>1641986</v>
      </c>
      <c r="MH157" s="168">
        <v>1635015</v>
      </c>
      <c r="MI157" s="168">
        <v>1033308</v>
      </c>
      <c r="MJ157" s="168">
        <v>403952</v>
      </c>
      <c r="MK157" s="21"/>
      <c r="ML157" s="21"/>
      <c r="MM157" s="21"/>
      <c r="MN157" s="21"/>
      <c r="MO157" s="21"/>
      <c r="MP157" s="21"/>
      <c r="MQ157" s="21"/>
      <c r="MR157" s="21"/>
      <c r="MS157" s="21"/>
      <c r="MT157" s="21"/>
      <c r="MU157" s="21"/>
      <c r="MV157" s="21"/>
      <c r="MW157" s="168">
        <v>10158101</v>
      </c>
      <c r="MX157" s="168">
        <v>10300730</v>
      </c>
      <c r="MY157" s="21"/>
      <c r="MZ157" s="21"/>
      <c r="NA157" s="21"/>
      <c r="NB157" s="21"/>
      <c r="NC157" s="168">
        <v>467497</v>
      </c>
      <c r="ND157" s="168">
        <v>-142626</v>
      </c>
      <c r="NE157" s="21"/>
      <c r="NF157" s="21"/>
      <c r="NG157" s="168">
        <v>15699737</v>
      </c>
      <c r="NH157" s="168">
        <v>14235110</v>
      </c>
      <c r="NI157" s="21"/>
      <c r="NJ157" s="21"/>
      <c r="NK157" s="168">
        <v>66040</v>
      </c>
      <c r="NL157" s="21"/>
      <c r="NM157" s="168">
        <v>61665090</v>
      </c>
      <c r="NN157" s="168">
        <v>52448829</v>
      </c>
      <c r="NO157" s="168">
        <v>79398742</v>
      </c>
      <c r="NP157" s="168">
        <v>68768653</v>
      </c>
      <c r="NQ157" s="168" t="s">
        <v>1551</v>
      </c>
      <c r="NR157" s="168" t="s">
        <v>769</v>
      </c>
      <c r="NS157" s="168" t="s">
        <v>770</v>
      </c>
      <c r="NT157" s="168" t="s">
        <v>771</v>
      </c>
      <c r="NU157" s="168">
        <v>3302</v>
      </c>
      <c r="NV157" s="168" t="s">
        <v>2104</v>
      </c>
      <c r="NW157" s="168" t="s">
        <v>28</v>
      </c>
      <c r="NX157" s="168" t="s">
        <v>25</v>
      </c>
      <c r="NY157" s="169">
        <v>42825</v>
      </c>
      <c r="NZ157" s="169">
        <v>42460</v>
      </c>
      <c r="OA157" s="169">
        <v>43024</v>
      </c>
      <c r="OB157" s="168" t="s">
        <v>1552</v>
      </c>
      <c r="OC157" s="168">
        <v>12</v>
      </c>
      <c r="OD157" s="168" t="s">
        <v>2105</v>
      </c>
      <c r="OE157" s="168" t="s">
        <v>2630</v>
      </c>
      <c r="OF157" s="168" t="s">
        <v>2631</v>
      </c>
      <c r="OG157" s="168" t="s">
        <v>2082</v>
      </c>
      <c r="OH157" s="168" t="s">
        <v>931</v>
      </c>
      <c r="OI157" s="168" t="s">
        <v>766</v>
      </c>
      <c r="OJ157" s="168" t="s">
        <v>3240</v>
      </c>
      <c r="OK157" s="168" t="s">
        <v>767</v>
      </c>
    </row>
    <row r="158" spans="1:401" x14ac:dyDescent="0.2">
      <c r="A158" s="170" t="str">
        <f>Liste[[#This Row],[Siren]]</f>
        <v>435338058</v>
      </c>
      <c r="B158" s="198" t="str">
        <f>Liste[[#This Row],[Dénomination]]&amp;" - comptes "&amp;YEAR(Liste[[#This Row],[Date de cloture de l''exercice]])</f>
        <v>CAP OCEANIQUE - comptes 2017</v>
      </c>
      <c r="C158" s="21"/>
      <c r="D158" s="21"/>
      <c r="E158" s="21"/>
      <c r="F158" s="168">
        <v>2284158</v>
      </c>
      <c r="G158" s="168">
        <v>1947446</v>
      </c>
      <c r="H158" s="168">
        <v>2284158</v>
      </c>
      <c r="I158" s="168">
        <v>3332647</v>
      </c>
      <c r="J158" s="168">
        <v>154299</v>
      </c>
      <c r="K158" s="168">
        <v>276809</v>
      </c>
      <c r="L158" s="168">
        <v>3486946</v>
      </c>
      <c r="M158" s="21"/>
      <c r="N158" s="168">
        <v>2129709</v>
      </c>
      <c r="O158" s="168">
        <v>2073447</v>
      </c>
      <c r="P158" s="168">
        <v>2129709</v>
      </c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168">
        <v>25249</v>
      </c>
      <c r="AM158" s="168">
        <v>52057</v>
      </c>
      <c r="AN158" s="168">
        <v>25249</v>
      </c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168">
        <v>3190</v>
      </c>
      <c r="BD158" s="168">
        <v>529643</v>
      </c>
      <c r="BE158" s="168">
        <v>429403</v>
      </c>
      <c r="BF158" s="168">
        <v>532833</v>
      </c>
      <c r="BG158" s="168">
        <v>135069</v>
      </c>
      <c r="BH158" s="168">
        <v>24023</v>
      </c>
      <c r="BI158" s="168">
        <v>24838</v>
      </c>
      <c r="BJ158" s="168">
        <v>159092</v>
      </c>
      <c r="BK158" s="168">
        <v>5244639</v>
      </c>
      <c r="BL158" s="168">
        <v>5988</v>
      </c>
      <c r="BM158" s="168">
        <v>85330</v>
      </c>
      <c r="BN158" s="168">
        <v>5250627</v>
      </c>
      <c r="BO158" s="21"/>
      <c r="BP158" s="21"/>
      <c r="BQ158" s="21"/>
      <c r="BR158" s="21"/>
      <c r="BS158" s="21"/>
      <c r="BT158" s="21"/>
      <c r="BU158" s="21"/>
      <c r="BV158" s="21"/>
      <c r="BW158" s="21"/>
      <c r="BX158" s="168">
        <v>5294857</v>
      </c>
      <c r="BY158" s="168">
        <v>5473218</v>
      </c>
      <c r="BZ158" s="168">
        <v>5294857</v>
      </c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168">
        <v>1342078</v>
      </c>
      <c r="DG158" s="168">
        <v>234534</v>
      </c>
      <c r="DH158" s="168">
        <v>100258</v>
      </c>
      <c r="DI158" s="168">
        <v>1576612</v>
      </c>
      <c r="DJ158" s="168">
        <v>191162</v>
      </c>
      <c r="DK158" s="168">
        <v>4561441</v>
      </c>
      <c r="DL158" s="168">
        <v>4479294</v>
      </c>
      <c r="DM158" s="168">
        <v>4752603</v>
      </c>
      <c r="DN158" s="21"/>
      <c r="DO158" s="168">
        <v>1395</v>
      </c>
      <c r="DP158" s="168">
        <v>1726</v>
      </c>
      <c r="DQ158" s="168">
        <v>1395</v>
      </c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168">
        <v>13191141</v>
      </c>
      <c r="EL158" s="168">
        <v>3622300</v>
      </c>
      <c r="EM158" s="168">
        <v>4130793</v>
      </c>
      <c r="EN158" s="168">
        <v>16813441</v>
      </c>
      <c r="EO158" s="168">
        <v>194352</v>
      </c>
      <c r="EP158" s="168">
        <v>18763651</v>
      </c>
      <c r="EQ158" s="168">
        <v>17827398</v>
      </c>
      <c r="ER158" s="168">
        <v>18958003</v>
      </c>
      <c r="ES158" s="168">
        <v>13385493</v>
      </c>
      <c r="ET158" s="168">
        <v>22385951</v>
      </c>
      <c r="EU158" s="168">
        <v>21958191</v>
      </c>
      <c r="EV158" s="168">
        <v>35771444</v>
      </c>
      <c r="EW158" s="168">
        <v>19688</v>
      </c>
      <c r="EX158" s="168">
        <v>16091</v>
      </c>
      <c r="EY158" s="168">
        <v>16091</v>
      </c>
      <c r="EZ158" s="168">
        <v>35779</v>
      </c>
      <c r="FA158" s="21"/>
      <c r="FB158" s="21"/>
      <c r="FC158" s="21"/>
      <c r="FD158" s="21"/>
      <c r="FE158" s="21"/>
      <c r="FF158" s="168">
        <v>5809085</v>
      </c>
      <c r="FG158" s="168">
        <v>5315811</v>
      </c>
      <c r="FH158" s="168">
        <v>5809085</v>
      </c>
      <c r="FI158" s="168">
        <v>-504847</v>
      </c>
      <c r="FJ158" s="168">
        <v>-277995</v>
      </c>
      <c r="FK158" s="21"/>
      <c r="FL158" s="21"/>
      <c r="FM158" s="21"/>
      <c r="FN158" s="21"/>
      <c r="FO158" s="21"/>
      <c r="FP158" s="21"/>
      <c r="FQ158" s="168">
        <v>264414</v>
      </c>
      <c r="FR158" s="168">
        <v>264414</v>
      </c>
      <c r="FS158" s="168">
        <v>653</v>
      </c>
      <c r="FT158" s="21"/>
      <c r="FU158" s="168">
        <v>53290</v>
      </c>
      <c r="FV158" s="168">
        <v>-14876</v>
      </c>
      <c r="FW158" s="168">
        <v>462952</v>
      </c>
      <c r="FX158" s="168">
        <v>756491</v>
      </c>
      <c r="FY158" s="168">
        <v>-51845</v>
      </c>
      <c r="FZ158" s="168">
        <v>-51069</v>
      </c>
      <c r="GA158" s="21"/>
      <c r="GB158" s="21"/>
      <c r="GC158" s="21"/>
      <c r="GD158" s="21"/>
      <c r="GE158" s="21"/>
      <c r="GF158" s="21"/>
      <c r="GG158" s="21"/>
      <c r="GH158" s="21"/>
      <c r="GI158" s="21"/>
      <c r="GJ158" s="21"/>
      <c r="GK158" s="168">
        <v>4480</v>
      </c>
      <c r="GL158" s="168">
        <v>2773</v>
      </c>
      <c r="GM158" s="21"/>
      <c r="GN158" s="21"/>
      <c r="GO158" s="21"/>
      <c r="GP158" s="21"/>
      <c r="GQ158" s="21"/>
      <c r="GR158" s="21"/>
      <c r="GS158" s="168">
        <v>1413781</v>
      </c>
      <c r="GT158" s="168">
        <v>1891161</v>
      </c>
      <c r="GU158" s="168">
        <v>509669</v>
      </c>
      <c r="GV158" s="168">
        <v>281403</v>
      </c>
      <c r="GW158" s="168">
        <v>4822</v>
      </c>
      <c r="GX158" s="168">
        <v>3408</v>
      </c>
      <c r="GY158" s="168">
        <v>48152796</v>
      </c>
      <c r="GZ158" s="168">
        <v>48296359</v>
      </c>
      <c r="HA158" s="168">
        <v>49375</v>
      </c>
      <c r="HB158" s="168">
        <v>39053</v>
      </c>
      <c r="HC158" s="168">
        <v>1429200</v>
      </c>
      <c r="HD158" s="168">
        <v>1318448</v>
      </c>
      <c r="HE158" s="168">
        <v>24934</v>
      </c>
      <c r="HF158" s="168">
        <v>30334</v>
      </c>
      <c r="HG158" s="21"/>
      <c r="HH158" s="21"/>
      <c r="HI158" s="168">
        <v>170447</v>
      </c>
      <c r="HJ158" s="168">
        <v>192060</v>
      </c>
      <c r="HK158" s="21"/>
      <c r="HL158" s="21"/>
      <c r="HM158" s="21"/>
      <c r="HN158" s="21"/>
      <c r="HO158" s="168">
        <v>1532627</v>
      </c>
      <c r="HP158" s="168">
        <v>1531907</v>
      </c>
      <c r="HQ158" s="21"/>
      <c r="HR158" s="21"/>
      <c r="HS158" s="21"/>
      <c r="HT158" s="21"/>
      <c r="HU158" s="21"/>
      <c r="HV158" s="21"/>
      <c r="HW158" s="21"/>
      <c r="HX158" s="21"/>
      <c r="HY158" s="21"/>
      <c r="HZ158" s="21"/>
      <c r="IA158" s="21"/>
      <c r="IB158" s="21"/>
      <c r="IC158" s="21"/>
      <c r="ID158" s="21"/>
      <c r="IE158" s="168">
        <v>874745</v>
      </c>
      <c r="IF158" s="168">
        <v>845546</v>
      </c>
      <c r="IG158" s="21"/>
      <c r="IH158" s="21"/>
      <c r="II158" s="21"/>
      <c r="IJ158" s="21"/>
      <c r="IK158" s="21"/>
      <c r="IL158" s="21"/>
      <c r="IM158" s="21"/>
      <c r="IN158" s="21"/>
      <c r="IO158" s="21"/>
      <c r="IP158" s="21"/>
      <c r="IQ158" s="21"/>
      <c r="IR158" s="21"/>
      <c r="IS158" s="21"/>
      <c r="IT158" s="21"/>
      <c r="IU158" s="21"/>
      <c r="IV158" s="21"/>
      <c r="IW158" s="168">
        <v>2459656</v>
      </c>
      <c r="IX158" s="168">
        <v>2849890</v>
      </c>
      <c r="IY158" s="168">
        <v>186914</v>
      </c>
      <c r="IZ158" s="168">
        <v>273808</v>
      </c>
      <c r="JA158" s="168">
        <v>179965</v>
      </c>
      <c r="JB158" s="168">
        <v>188348</v>
      </c>
      <c r="JC158" s="21"/>
      <c r="JD158" s="21"/>
      <c r="JE158" s="21"/>
      <c r="JF158" s="21"/>
      <c r="JG158" s="21"/>
      <c r="JH158" s="21"/>
      <c r="JI158" s="168">
        <v>60563128</v>
      </c>
      <c r="JJ158" s="168">
        <v>61006123</v>
      </c>
      <c r="JK158" s="168">
        <v>2661</v>
      </c>
      <c r="JL158" s="168">
        <v>2193</v>
      </c>
      <c r="JM158" s="168">
        <v>63022784</v>
      </c>
      <c r="JN158" s="168">
        <v>63856013</v>
      </c>
      <c r="JO158" s="168">
        <v>189575</v>
      </c>
      <c r="JP158" s="168">
        <v>276001</v>
      </c>
      <c r="JQ158" s="168">
        <v>-81896</v>
      </c>
      <c r="JR158" s="168">
        <v>126491</v>
      </c>
      <c r="JS158" s="168">
        <v>-977</v>
      </c>
      <c r="JT158" s="168">
        <v>-1334</v>
      </c>
      <c r="JU158" s="21"/>
      <c r="JV158" s="21"/>
      <c r="JW158" s="168">
        <v>62639364</v>
      </c>
      <c r="JX158" s="168">
        <v>63428082</v>
      </c>
      <c r="JY158" s="21"/>
      <c r="JZ158" s="21"/>
      <c r="KA158" s="21"/>
      <c r="KB158" s="21"/>
      <c r="KC158" s="21"/>
      <c r="KD158" s="21"/>
      <c r="KE158" s="168">
        <v>1348058</v>
      </c>
      <c r="KF158" s="168">
        <v>1441589</v>
      </c>
      <c r="KG158" s="21"/>
      <c r="KH158" s="21"/>
      <c r="KI158" s="168">
        <v>61291306</v>
      </c>
      <c r="KJ158" s="168">
        <v>61986493</v>
      </c>
      <c r="KK158" s="21"/>
      <c r="KL158" s="21"/>
      <c r="KM158" s="21"/>
      <c r="KN158" s="21"/>
      <c r="KO158" s="21"/>
      <c r="KP158" s="21"/>
      <c r="KQ158" s="21"/>
      <c r="KR158" s="21"/>
      <c r="KS158" s="21"/>
      <c r="KT158" s="21"/>
      <c r="KU158" s="168">
        <v>6836963</v>
      </c>
      <c r="KV158" s="168">
        <v>5854897</v>
      </c>
      <c r="KW158" s="21"/>
      <c r="KX158" s="21"/>
      <c r="KY158" s="168">
        <v>-917</v>
      </c>
      <c r="KZ158" s="168">
        <v>1836</v>
      </c>
      <c r="LA158" s="168">
        <v>4708388</v>
      </c>
      <c r="LB158" s="168">
        <v>4708388</v>
      </c>
      <c r="LC158" s="21"/>
      <c r="LD158" s="21"/>
      <c r="LE158" s="21"/>
      <c r="LF158" s="21"/>
      <c r="LG158" s="21"/>
      <c r="LH158" s="21"/>
      <c r="LI158" s="168">
        <v>2168392</v>
      </c>
      <c r="LJ158" s="168">
        <v>2331185</v>
      </c>
      <c r="LK158" s="168">
        <v>3420180</v>
      </c>
      <c r="LL158" s="168">
        <v>2823199</v>
      </c>
      <c r="LM158" s="21"/>
      <c r="LN158" s="21"/>
      <c r="LO158" s="21"/>
      <c r="LP158" s="21"/>
      <c r="LQ158" s="21"/>
      <c r="LR158" s="21"/>
      <c r="LS158" s="21"/>
      <c r="LT158" s="21"/>
      <c r="LU158" s="21"/>
      <c r="LV158" s="21"/>
      <c r="LW158" s="21"/>
      <c r="LX158" s="21"/>
      <c r="LY158" s="21"/>
      <c r="LZ158" s="21"/>
      <c r="MA158" s="168">
        <v>213</v>
      </c>
      <c r="MB158" s="168">
        <v>147</v>
      </c>
      <c r="MC158" s="21"/>
      <c r="MD158" s="21"/>
      <c r="ME158" s="21"/>
      <c r="MF158" s="21"/>
      <c r="MG158" s="21"/>
      <c r="MH158" s="21"/>
      <c r="MI158" s="21"/>
      <c r="MJ158" s="21"/>
      <c r="MK158" s="21"/>
      <c r="ML158" s="21"/>
      <c r="MM158" s="168">
        <v>9053</v>
      </c>
      <c r="MN158" s="168">
        <v>8044</v>
      </c>
      <c r="MO158" s="21"/>
      <c r="MP158" s="21"/>
      <c r="MQ158" s="21"/>
      <c r="MR158" s="21"/>
      <c r="MS158" s="21"/>
      <c r="MT158" s="21"/>
      <c r="MU158" s="21"/>
      <c r="MV158" s="21"/>
      <c r="MW158" s="168">
        <v>514924</v>
      </c>
      <c r="MX158" s="168">
        <v>514924</v>
      </c>
      <c r="MY158" s="21"/>
      <c r="MZ158" s="21"/>
      <c r="NA158" s="21"/>
      <c r="NB158" s="21"/>
      <c r="NC158" s="168">
        <v>1413781</v>
      </c>
      <c r="ND158" s="168">
        <v>1891161</v>
      </c>
      <c r="NE158" s="21"/>
      <c r="NF158" s="21"/>
      <c r="NG158" s="168">
        <v>15440536</v>
      </c>
      <c r="NH158" s="168">
        <v>15401755</v>
      </c>
      <c r="NI158" s="21"/>
      <c r="NJ158" s="21"/>
      <c r="NK158" s="21"/>
      <c r="NL158" s="21"/>
      <c r="NM158" s="168">
        <v>6293569</v>
      </c>
      <c r="NN158" s="168">
        <v>5844901</v>
      </c>
      <c r="NO158" s="168">
        <v>22385951</v>
      </c>
      <c r="NP158" s="168">
        <v>21958191</v>
      </c>
      <c r="NQ158" s="168" t="s">
        <v>1579</v>
      </c>
      <c r="NR158" s="168" t="s">
        <v>769</v>
      </c>
      <c r="NS158" s="168" t="s">
        <v>770</v>
      </c>
      <c r="NT158" s="168" t="s">
        <v>771</v>
      </c>
      <c r="NU158" s="168">
        <v>4001</v>
      </c>
      <c r="NV158" s="168" t="s">
        <v>2104</v>
      </c>
      <c r="NW158" s="168" t="s">
        <v>28</v>
      </c>
      <c r="NX158" s="168" t="s">
        <v>25</v>
      </c>
      <c r="NY158" s="169">
        <v>42825</v>
      </c>
      <c r="NZ158" s="169">
        <v>42460</v>
      </c>
      <c r="OA158" s="169">
        <v>43020</v>
      </c>
      <c r="OB158" s="168" t="s">
        <v>1580</v>
      </c>
      <c r="OC158" s="168">
        <v>12</v>
      </c>
      <c r="OD158" s="168" t="s">
        <v>2105</v>
      </c>
      <c r="OE158" s="168" t="s">
        <v>2150</v>
      </c>
      <c r="OF158" s="168" t="s">
        <v>2656</v>
      </c>
      <c r="OG158" s="168" t="s">
        <v>2101</v>
      </c>
      <c r="OH158" s="168" t="s">
        <v>791</v>
      </c>
      <c r="OI158" s="168" t="s">
        <v>766</v>
      </c>
      <c r="OJ158" s="168" t="s">
        <v>3240</v>
      </c>
      <c r="OK158" s="168" t="s">
        <v>767</v>
      </c>
    </row>
    <row r="159" spans="1:401" x14ac:dyDescent="0.2">
      <c r="A159" s="170" t="str">
        <f>Liste[[#This Row],[Siren]]</f>
        <v>412476590</v>
      </c>
      <c r="B159" s="198" t="str">
        <f>Liste[[#This Row],[Dénomination]]&amp;" - comptes "&amp;YEAR(Liste[[#This Row],[Date de cloture de l''exercice]])</f>
        <v>COFINTEC - comptes 2017</v>
      </c>
      <c r="C159" s="21"/>
      <c r="D159" s="21"/>
      <c r="E159" s="21"/>
      <c r="F159" s="168">
        <v>7148523</v>
      </c>
      <c r="G159" s="168">
        <v>8136197</v>
      </c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168">
        <v>30316066</v>
      </c>
      <c r="BE159" s="168">
        <v>44994971</v>
      </c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168">
        <v>8760478</v>
      </c>
      <c r="BY159" s="168">
        <v>3245554</v>
      </c>
      <c r="BZ159" s="21"/>
      <c r="CA159" s="21"/>
      <c r="CB159" s="21"/>
      <c r="CC159" s="21"/>
      <c r="CD159" s="21"/>
      <c r="CE159" s="168">
        <v>2228869</v>
      </c>
      <c r="CF159" s="168">
        <v>2755801</v>
      </c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168">
        <v>7277251</v>
      </c>
      <c r="EM159" s="168">
        <v>6566373</v>
      </c>
      <c r="EN159" s="21"/>
      <c r="EO159" s="21"/>
      <c r="EP159" s="168">
        <v>64200090</v>
      </c>
      <c r="EQ159" s="168">
        <v>83037691</v>
      </c>
      <c r="ER159" s="21"/>
      <c r="ES159" s="21"/>
      <c r="ET159" s="168">
        <v>71477341</v>
      </c>
      <c r="EU159" s="168">
        <v>89604064</v>
      </c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  <c r="FQ159" s="168">
        <v>-526932</v>
      </c>
      <c r="FR159" s="168">
        <v>-526932</v>
      </c>
      <c r="FS159" s="21"/>
      <c r="FT159" s="21"/>
      <c r="FU159" s="21"/>
      <c r="FV159" s="21"/>
      <c r="FW159" s="168">
        <v>-1008108</v>
      </c>
      <c r="FX159" s="168">
        <v>-715243</v>
      </c>
      <c r="FY159" s="168">
        <v>-498022</v>
      </c>
      <c r="FZ159" s="168">
        <v>-343952</v>
      </c>
      <c r="GA159" s="21"/>
      <c r="GB159" s="21"/>
      <c r="GC159" s="21"/>
      <c r="GD159" s="21"/>
      <c r="GE159" s="21"/>
      <c r="GF159" s="21"/>
      <c r="GG159" s="21"/>
      <c r="GH159" s="21"/>
      <c r="GI159" s="21"/>
      <c r="GJ159" s="21"/>
      <c r="GK159" s="21"/>
      <c r="GL159" s="21"/>
      <c r="GM159" s="21"/>
      <c r="GN159" s="21"/>
      <c r="GO159" s="21"/>
      <c r="GP159" s="21"/>
      <c r="GQ159" s="21"/>
      <c r="GR159" s="21"/>
      <c r="GS159" s="168">
        <v>1660277</v>
      </c>
      <c r="GT159" s="168">
        <v>392665</v>
      </c>
      <c r="GU159" s="21"/>
      <c r="GV159" s="21"/>
      <c r="GW159" s="21"/>
      <c r="GX159" s="21"/>
      <c r="GY159" s="21"/>
      <c r="GZ159" s="21"/>
      <c r="HA159" s="21"/>
      <c r="HB159" s="21"/>
      <c r="HC159" s="21"/>
      <c r="HD159" s="21"/>
      <c r="HE159" s="168">
        <v>-159</v>
      </c>
      <c r="HF159" s="168">
        <v>15842</v>
      </c>
      <c r="HG159" s="21"/>
      <c r="HH159" s="21"/>
      <c r="HI159" s="168">
        <v>-7562877</v>
      </c>
      <c r="HJ159" s="168">
        <v>10706696</v>
      </c>
      <c r="HK159" s="21"/>
      <c r="HL159" s="21"/>
      <c r="HM159" s="21"/>
      <c r="HN159" s="21"/>
      <c r="HO159" s="21"/>
      <c r="HP159" s="21"/>
      <c r="HQ159" s="21"/>
      <c r="HR159" s="21"/>
      <c r="HS159" s="21"/>
      <c r="HT159" s="21"/>
      <c r="HU159" s="21"/>
      <c r="HV159" s="21"/>
      <c r="HW159" s="21"/>
      <c r="HX159" s="21"/>
      <c r="HY159" s="21"/>
      <c r="HZ159" s="21"/>
      <c r="IA159" s="21"/>
      <c r="IB159" s="21"/>
      <c r="IC159" s="21"/>
      <c r="ID159" s="21"/>
      <c r="IE159" s="168">
        <v>-129575</v>
      </c>
      <c r="IF159" s="168">
        <v>-128262</v>
      </c>
      <c r="IG159" s="21"/>
      <c r="IH159" s="21"/>
      <c r="II159" s="21"/>
      <c r="IJ159" s="21"/>
      <c r="IK159" s="21"/>
      <c r="IL159" s="21"/>
      <c r="IM159" s="21"/>
      <c r="IN159" s="21"/>
      <c r="IO159" s="21"/>
      <c r="IP159" s="21"/>
      <c r="IQ159" s="21"/>
      <c r="IR159" s="21"/>
      <c r="IS159" s="21"/>
      <c r="IT159" s="21"/>
      <c r="IU159" s="21"/>
      <c r="IV159" s="21"/>
      <c r="IW159" s="168">
        <v>3849692</v>
      </c>
      <c r="IX159" s="168">
        <v>2689346</v>
      </c>
      <c r="IY159" s="21"/>
      <c r="IZ159" s="21"/>
      <c r="JA159" s="21"/>
      <c r="JB159" s="21"/>
      <c r="JC159" s="21"/>
      <c r="JD159" s="21"/>
      <c r="JE159" s="168">
        <v>-3534675</v>
      </c>
      <c r="JF159" s="168">
        <v>-3417861</v>
      </c>
      <c r="JG159" s="21"/>
      <c r="JH159" s="21"/>
      <c r="JI159" s="21"/>
      <c r="JJ159" s="21"/>
      <c r="JK159" s="21"/>
      <c r="JL159" s="21"/>
      <c r="JM159" s="21"/>
      <c r="JN159" s="21"/>
      <c r="JO159" s="21"/>
      <c r="JP159" s="21"/>
      <c r="JQ159" s="21"/>
      <c r="JR159" s="21"/>
      <c r="JS159" s="21"/>
      <c r="JT159" s="21"/>
      <c r="JU159" s="21"/>
      <c r="JV159" s="21"/>
      <c r="JW159" s="168">
        <v>60523793</v>
      </c>
      <c r="JX159" s="168">
        <v>43293470</v>
      </c>
      <c r="JY159" s="21"/>
      <c r="JZ159" s="21"/>
      <c r="KA159" s="21"/>
      <c r="KB159" s="21"/>
      <c r="KC159" s="21"/>
      <c r="KD159" s="21"/>
      <c r="KE159" s="21"/>
      <c r="KF159" s="21"/>
      <c r="KG159" s="21"/>
      <c r="KH159" s="21"/>
      <c r="KI159" s="21"/>
      <c r="KJ159" s="21"/>
      <c r="KK159" s="21"/>
      <c r="KL159" s="21"/>
      <c r="KM159" s="21"/>
      <c r="KN159" s="21"/>
      <c r="KO159" s="21"/>
      <c r="KP159" s="21"/>
      <c r="KQ159" s="21"/>
      <c r="KR159" s="21"/>
      <c r="KS159" s="21"/>
      <c r="KT159" s="21"/>
      <c r="KU159" s="21"/>
      <c r="KV159" s="21"/>
      <c r="KW159" s="21"/>
      <c r="KX159" s="21"/>
      <c r="KY159" s="21"/>
      <c r="KZ159" s="21"/>
      <c r="LA159" s="168">
        <v>9924</v>
      </c>
      <c r="LB159" s="168">
        <v>9924</v>
      </c>
      <c r="LC159" s="21"/>
      <c r="LD159" s="21"/>
      <c r="LE159" s="21"/>
      <c r="LF159" s="21"/>
      <c r="LG159" s="21"/>
      <c r="LH159" s="21"/>
      <c r="LI159" s="21"/>
      <c r="LJ159" s="21"/>
      <c r="LK159" s="168">
        <v>9351229</v>
      </c>
      <c r="LL159" s="168">
        <v>9408701</v>
      </c>
      <c r="LM159" s="21"/>
      <c r="LN159" s="21"/>
      <c r="LO159" s="21"/>
      <c r="LP159" s="21"/>
      <c r="LQ159" s="21"/>
      <c r="LR159" s="21"/>
      <c r="LS159" s="21"/>
      <c r="LT159" s="21"/>
      <c r="LU159" s="21"/>
      <c r="LV159" s="21"/>
      <c r="LW159" s="21"/>
      <c r="LX159" s="21"/>
      <c r="LY159" s="21"/>
      <c r="LZ159" s="21"/>
      <c r="MA159" s="21"/>
      <c r="MB159" s="21"/>
      <c r="MC159" s="168">
        <v>11415674</v>
      </c>
      <c r="MD159" s="168">
        <v>25712520</v>
      </c>
      <c r="ME159" s="21"/>
      <c r="MF159" s="21"/>
      <c r="MG159" s="21"/>
      <c r="MH159" s="21"/>
      <c r="MI159" s="168">
        <v>2701540</v>
      </c>
      <c r="MJ159" s="168">
        <v>2701540</v>
      </c>
      <c r="MK159" s="21"/>
      <c r="ML159" s="21"/>
      <c r="MM159" s="21"/>
      <c r="MN159" s="21"/>
      <c r="MO159" s="21"/>
      <c r="MP159" s="21"/>
      <c r="MQ159" s="21"/>
      <c r="MR159" s="21"/>
      <c r="MS159" s="21"/>
      <c r="MT159" s="21"/>
      <c r="MU159" s="21"/>
      <c r="MV159" s="21"/>
      <c r="MW159" s="168">
        <v>11530544</v>
      </c>
      <c r="MX159" s="168">
        <v>11601704</v>
      </c>
      <c r="MY159" s="21"/>
      <c r="MZ159" s="21"/>
      <c r="NA159" s="21"/>
      <c r="NB159" s="21"/>
      <c r="NC159" s="168">
        <v>1660277</v>
      </c>
      <c r="ND159" s="168">
        <v>392665</v>
      </c>
      <c r="NE159" s="21"/>
      <c r="NF159" s="21"/>
      <c r="NG159" s="168">
        <v>15902284</v>
      </c>
      <c r="NH159" s="168">
        <v>14705834</v>
      </c>
      <c r="NI159" s="21"/>
      <c r="NJ159" s="21"/>
      <c r="NK159" s="21"/>
      <c r="NL159" s="21"/>
      <c r="NM159" s="168">
        <v>54649905</v>
      </c>
      <c r="NN159" s="168">
        <v>74144581</v>
      </c>
      <c r="NO159" s="168">
        <v>71477341</v>
      </c>
      <c r="NP159" s="168">
        <v>89604064</v>
      </c>
      <c r="NQ159" s="168" t="s">
        <v>832</v>
      </c>
      <c r="NR159" s="168" t="s">
        <v>939</v>
      </c>
      <c r="NS159" s="168" t="s">
        <v>770</v>
      </c>
      <c r="NT159" s="168" t="s">
        <v>771</v>
      </c>
      <c r="NU159" s="168">
        <v>7501</v>
      </c>
      <c r="NV159" s="168" t="s">
        <v>2104</v>
      </c>
      <c r="NW159" s="168" t="s">
        <v>28</v>
      </c>
      <c r="NX159" s="168" t="s">
        <v>25</v>
      </c>
      <c r="NY159" s="169">
        <v>42825</v>
      </c>
      <c r="NZ159" s="169">
        <v>42460</v>
      </c>
      <c r="OA159" s="169">
        <v>43032</v>
      </c>
      <c r="OB159" s="168" t="s">
        <v>1581</v>
      </c>
      <c r="OC159" s="168">
        <v>12</v>
      </c>
      <c r="OD159" s="168" t="s">
        <v>2105</v>
      </c>
      <c r="OE159" s="168" t="s">
        <v>2368</v>
      </c>
      <c r="OF159" s="168" t="s">
        <v>2657</v>
      </c>
      <c r="OG159" s="168" t="s">
        <v>2102</v>
      </c>
      <c r="OH159" s="168" t="s">
        <v>765</v>
      </c>
      <c r="OI159" s="168" t="s">
        <v>766</v>
      </c>
      <c r="OJ159" s="168" t="s">
        <v>3240</v>
      </c>
      <c r="OK159" s="168" t="s">
        <v>938</v>
      </c>
    </row>
    <row r="160" spans="1:401" x14ac:dyDescent="0.2">
      <c r="A160" s="170" t="str">
        <f>Liste[[#This Row],[Siren]]</f>
        <v>309644953</v>
      </c>
      <c r="B160" s="198" t="str">
        <f>Liste[[#This Row],[Dénomination]]&amp;" - comptes "&amp;YEAR(Liste[[#This Row],[Date de cloture de l''exercice]])</f>
        <v>LAMY S.A. - comptes 2017</v>
      </c>
      <c r="C160" s="21"/>
      <c r="D160" s="21"/>
      <c r="E160" s="168">
        <v>631700</v>
      </c>
      <c r="F160" s="168">
        <v>19803585</v>
      </c>
      <c r="G160" s="168">
        <v>17887677</v>
      </c>
      <c r="H160" s="168">
        <v>20435285</v>
      </c>
      <c r="I160" s="168">
        <v>9303099</v>
      </c>
      <c r="J160" s="168">
        <v>6692723</v>
      </c>
      <c r="K160" s="168">
        <v>6036767</v>
      </c>
      <c r="L160" s="168">
        <v>15995822</v>
      </c>
      <c r="M160" s="21"/>
      <c r="N160" s="168">
        <v>93421</v>
      </c>
      <c r="O160" s="168">
        <v>616829</v>
      </c>
      <c r="P160" s="168">
        <v>93421</v>
      </c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168">
        <v>19709</v>
      </c>
      <c r="AM160" s="168">
        <v>270532</v>
      </c>
      <c r="AN160" s="168">
        <v>19709</v>
      </c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168">
        <v>3678345</v>
      </c>
      <c r="BA160" s="168">
        <v>3250177</v>
      </c>
      <c r="BB160" s="168">
        <v>3678345</v>
      </c>
      <c r="BC160" s="168">
        <v>334272</v>
      </c>
      <c r="BD160" s="168">
        <v>15396747</v>
      </c>
      <c r="BE160" s="168">
        <v>14769222</v>
      </c>
      <c r="BF160" s="168">
        <v>15731019</v>
      </c>
      <c r="BG160" s="168">
        <v>4486911</v>
      </c>
      <c r="BH160" s="168">
        <v>1109137</v>
      </c>
      <c r="BI160" s="168">
        <v>1250434</v>
      </c>
      <c r="BJ160" s="168">
        <v>5596048</v>
      </c>
      <c r="BK160" s="168">
        <v>5654371</v>
      </c>
      <c r="BL160" s="168">
        <v>8089360</v>
      </c>
      <c r="BM160" s="168">
        <v>8404717</v>
      </c>
      <c r="BN160" s="168">
        <v>13743731</v>
      </c>
      <c r="BO160" s="21"/>
      <c r="BP160" s="21"/>
      <c r="BQ160" s="168">
        <v>46005</v>
      </c>
      <c r="BR160" s="21"/>
      <c r="BS160" s="21"/>
      <c r="BT160" s="21"/>
      <c r="BU160" s="21"/>
      <c r="BV160" s="21"/>
      <c r="BW160" s="21"/>
      <c r="BX160" s="168">
        <v>6973141</v>
      </c>
      <c r="BY160" s="168">
        <v>7553531</v>
      </c>
      <c r="BZ160" s="168">
        <v>6973141</v>
      </c>
      <c r="CA160" s="21"/>
      <c r="CB160" s="21"/>
      <c r="CC160" s="21"/>
      <c r="CD160" s="168">
        <v>2988607</v>
      </c>
      <c r="CE160" s="168">
        <v>2735896</v>
      </c>
      <c r="CF160" s="168">
        <v>3027259</v>
      </c>
      <c r="CG160" s="168">
        <v>5724503</v>
      </c>
      <c r="CH160" s="21"/>
      <c r="CI160" s="168">
        <v>787731</v>
      </c>
      <c r="CJ160" s="168">
        <v>754330</v>
      </c>
      <c r="CK160" s="168">
        <v>787731</v>
      </c>
      <c r="CL160" s="21"/>
      <c r="CM160" s="21"/>
      <c r="CN160" s="21"/>
      <c r="CO160" s="21"/>
      <c r="CP160" s="168">
        <v>3743836</v>
      </c>
      <c r="CQ160" s="168">
        <v>2247821</v>
      </c>
      <c r="CR160" s="168">
        <v>2314882</v>
      </c>
      <c r="CS160" s="168">
        <v>5991657</v>
      </c>
      <c r="CT160" s="168">
        <v>28584</v>
      </c>
      <c r="CU160" s="21"/>
      <c r="CV160" s="21"/>
      <c r="CW160" s="168">
        <v>28584</v>
      </c>
      <c r="CX160" s="21"/>
      <c r="CY160" s="21"/>
      <c r="CZ160" s="21"/>
      <c r="DA160" s="21"/>
      <c r="DB160" s="21"/>
      <c r="DC160" s="168">
        <v>73000</v>
      </c>
      <c r="DD160" s="168">
        <v>102936</v>
      </c>
      <c r="DE160" s="168">
        <v>73000</v>
      </c>
      <c r="DF160" s="168">
        <v>8124767</v>
      </c>
      <c r="DG160" s="168">
        <v>4153993</v>
      </c>
      <c r="DH160" s="168">
        <v>4403604</v>
      </c>
      <c r="DI160" s="168">
        <v>12278760</v>
      </c>
      <c r="DJ160" s="168">
        <v>32126</v>
      </c>
      <c r="DK160" s="168">
        <v>3580332</v>
      </c>
      <c r="DL160" s="168">
        <v>4084683</v>
      </c>
      <c r="DM160" s="168">
        <v>3612458</v>
      </c>
      <c r="DN160" s="21"/>
      <c r="DO160" s="168">
        <v>95473</v>
      </c>
      <c r="DP160" s="168">
        <v>105092</v>
      </c>
      <c r="DQ160" s="168">
        <v>95473</v>
      </c>
      <c r="DR160" s="21"/>
      <c r="DS160" s="168">
        <v>79009</v>
      </c>
      <c r="DT160" s="168">
        <v>99710</v>
      </c>
      <c r="DU160" s="168">
        <v>79009</v>
      </c>
      <c r="DV160" s="21"/>
      <c r="DW160" s="168">
        <v>5934456</v>
      </c>
      <c r="DX160" s="168">
        <v>5936237</v>
      </c>
      <c r="DY160" s="168">
        <v>5934456</v>
      </c>
      <c r="DZ160" s="21"/>
      <c r="EA160" s="21"/>
      <c r="EB160" s="21"/>
      <c r="EC160" s="21"/>
      <c r="ED160" s="168">
        <v>293171</v>
      </c>
      <c r="EE160" s="168">
        <v>366883</v>
      </c>
      <c r="EF160" s="168">
        <v>293171</v>
      </c>
      <c r="EG160" s="21"/>
      <c r="EH160" s="21"/>
      <c r="EI160" s="21"/>
      <c r="EJ160" s="21"/>
      <c r="EK160" s="168">
        <v>35130989</v>
      </c>
      <c r="EL160" s="168">
        <v>35476173</v>
      </c>
      <c r="EM160" s="168">
        <v>35414134</v>
      </c>
      <c r="EN160" s="168">
        <v>70607162</v>
      </c>
      <c r="EO160" s="168">
        <v>998098</v>
      </c>
      <c r="EP160" s="168">
        <v>94029081</v>
      </c>
      <c r="EQ160" s="168">
        <v>96902851</v>
      </c>
      <c r="ER160" s="168">
        <v>95027179</v>
      </c>
      <c r="ES160" s="168">
        <v>39117694</v>
      </c>
      <c r="ET160" s="168">
        <v>132241152</v>
      </c>
      <c r="EU160" s="168">
        <v>135344251</v>
      </c>
      <c r="EV160" s="168">
        <v>171358846</v>
      </c>
      <c r="EW160" s="168">
        <v>3728790</v>
      </c>
      <c r="EX160" s="168">
        <v>742914</v>
      </c>
      <c r="EY160" s="168">
        <v>730784</v>
      </c>
      <c r="EZ160" s="168">
        <v>4471704</v>
      </c>
      <c r="FA160" s="21"/>
      <c r="FB160" s="21"/>
      <c r="FC160" s="21"/>
      <c r="FD160" s="21"/>
      <c r="FE160" s="21"/>
      <c r="FF160" s="168">
        <v>43400847</v>
      </c>
      <c r="FG160" s="168">
        <v>47860725</v>
      </c>
      <c r="FH160" s="168">
        <v>43400847</v>
      </c>
      <c r="FI160" s="168">
        <v>283822</v>
      </c>
      <c r="FJ160" s="168">
        <v>34036</v>
      </c>
      <c r="FK160" s="21"/>
      <c r="FL160" s="21"/>
      <c r="FM160" s="168">
        <v>326735</v>
      </c>
      <c r="FN160" s="168">
        <v>843874</v>
      </c>
      <c r="FO160" s="168">
        <v>50140</v>
      </c>
      <c r="FP160" s="168">
        <v>3817999</v>
      </c>
      <c r="FQ160" s="168">
        <v>269958</v>
      </c>
      <c r="FR160" s="168">
        <v>271705</v>
      </c>
      <c r="FS160" s="168">
        <v>1</v>
      </c>
      <c r="FT160" s="168">
        <v>13502</v>
      </c>
      <c r="FU160" s="168">
        <v>-188592</v>
      </c>
      <c r="FV160" s="168">
        <v>146973</v>
      </c>
      <c r="FW160" s="168">
        <v>561614</v>
      </c>
      <c r="FX160" s="168">
        <v>164</v>
      </c>
      <c r="FY160" s="168">
        <v>243395</v>
      </c>
      <c r="FZ160" s="168">
        <v>179976</v>
      </c>
      <c r="GA160" s="21"/>
      <c r="GB160" s="21"/>
      <c r="GC160" s="168">
        <v>98229</v>
      </c>
      <c r="GD160" s="168">
        <v>113091</v>
      </c>
      <c r="GE160" s="168">
        <v>328689</v>
      </c>
      <c r="GF160" s="168">
        <v>4124103</v>
      </c>
      <c r="GG160" s="21"/>
      <c r="GH160" s="21"/>
      <c r="GI160" s="21"/>
      <c r="GJ160" s="21"/>
      <c r="GK160" s="168">
        <v>233780</v>
      </c>
      <c r="GL160" s="168">
        <v>404145</v>
      </c>
      <c r="GM160" s="168">
        <v>681513</v>
      </c>
      <c r="GN160" s="168">
        <v>795828</v>
      </c>
      <c r="GO160" s="168">
        <v>954244</v>
      </c>
      <c r="GP160" s="168">
        <v>1050014</v>
      </c>
      <c r="GQ160" s="168">
        <v>-2772</v>
      </c>
      <c r="GR160" s="168">
        <v>16623</v>
      </c>
      <c r="GS160" s="21"/>
      <c r="GT160" s="21"/>
      <c r="GU160" s="168">
        <v>376876</v>
      </c>
      <c r="GV160" s="168">
        <v>4675375</v>
      </c>
      <c r="GW160" s="168">
        <v>660698</v>
      </c>
      <c r="GX160" s="168">
        <v>4641339</v>
      </c>
      <c r="GY160" s="168">
        <v>31056745</v>
      </c>
      <c r="GZ160" s="168">
        <v>30576126</v>
      </c>
      <c r="HA160" s="168">
        <v>5214292</v>
      </c>
      <c r="HB160" s="168">
        <v>6000429</v>
      </c>
      <c r="HC160" s="168">
        <v>13680445</v>
      </c>
      <c r="HD160" s="168">
        <v>13055754</v>
      </c>
      <c r="HE160" s="168">
        <v>746458</v>
      </c>
      <c r="HF160" s="168">
        <v>1512988</v>
      </c>
      <c r="HG160" s="168">
        <v>984009</v>
      </c>
      <c r="HH160" s="168">
        <v>1713685</v>
      </c>
      <c r="HI160" s="168">
        <v>629421</v>
      </c>
      <c r="HJ160" s="168">
        <v>1344096</v>
      </c>
      <c r="HK160" s="21"/>
      <c r="HL160" s="21"/>
      <c r="HM160" s="21"/>
      <c r="HN160" s="21"/>
      <c r="HO160" s="168">
        <v>3299602</v>
      </c>
      <c r="HP160" s="168">
        <v>3277423</v>
      </c>
      <c r="HQ160" s="168">
        <v>105261</v>
      </c>
      <c r="HR160" s="168">
        <v>47600</v>
      </c>
      <c r="HS160" s="168">
        <v>105595</v>
      </c>
      <c r="HT160" s="168">
        <v>37814</v>
      </c>
      <c r="HU160" s="168">
        <v>1995297</v>
      </c>
      <c r="HV160" s="168">
        <v>1907327</v>
      </c>
      <c r="HW160" s="21"/>
      <c r="HX160" s="21"/>
      <c r="HY160" s="168">
        <v>2480344</v>
      </c>
      <c r="HZ160" s="168">
        <v>2217372</v>
      </c>
      <c r="IA160" s="168">
        <v>151453</v>
      </c>
      <c r="IB160" s="168">
        <v>19040</v>
      </c>
      <c r="IC160" s="21"/>
      <c r="ID160" s="168">
        <v>46700</v>
      </c>
      <c r="IE160" s="168">
        <v>981283</v>
      </c>
      <c r="IF160" s="168">
        <v>982444</v>
      </c>
      <c r="IG160" s="168">
        <v>332902</v>
      </c>
      <c r="IH160" s="168">
        <v>886493</v>
      </c>
      <c r="II160" s="21"/>
      <c r="IJ160" s="168">
        <v>1392</v>
      </c>
      <c r="IK160" s="21"/>
      <c r="IL160" s="21"/>
      <c r="IM160" s="168">
        <v>2242</v>
      </c>
      <c r="IN160" s="168">
        <v>47039</v>
      </c>
      <c r="IO160" s="168">
        <v>139060</v>
      </c>
      <c r="IP160" s="168">
        <v>26498</v>
      </c>
      <c r="IQ160" s="168">
        <v>407502</v>
      </c>
      <c r="IR160" s="168">
        <v>378632</v>
      </c>
      <c r="IS160" s="21"/>
      <c r="IT160" s="21"/>
      <c r="IU160" s="168">
        <v>1043444</v>
      </c>
      <c r="IV160" s="168">
        <v>1396275</v>
      </c>
      <c r="IW160" s="168">
        <v>-201257</v>
      </c>
      <c r="IX160" s="168">
        <v>221834</v>
      </c>
      <c r="IY160" s="168">
        <v>1244701</v>
      </c>
      <c r="IZ160" s="168">
        <v>1175833</v>
      </c>
      <c r="JA160" s="168">
        <v>2759526</v>
      </c>
      <c r="JB160" s="168">
        <v>2769886</v>
      </c>
      <c r="JC160" s="168">
        <v>46700</v>
      </c>
      <c r="JD160" s="21"/>
      <c r="JE160" s="168">
        <v>6469685</v>
      </c>
      <c r="JF160" s="168">
        <v>6524456</v>
      </c>
      <c r="JG160" s="21"/>
      <c r="JH160" s="21"/>
      <c r="JI160" s="168">
        <v>66027562</v>
      </c>
      <c r="JJ160" s="168">
        <v>67907748</v>
      </c>
      <c r="JK160" s="168">
        <v>438165</v>
      </c>
      <c r="JL160" s="168">
        <v>980804</v>
      </c>
      <c r="JM160" s="168">
        <v>3391189</v>
      </c>
      <c r="JN160" s="168">
        <v>4066943</v>
      </c>
      <c r="JO160" s="168">
        <v>1682866</v>
      </c>
      <c r="JP160" s="168">
        <v>2156637</v>
      </c>
      <c r="JQ160" s="168">
        <v>457318</v>
      </c>
      <c r="JR160" s="168">
        <v>1604762</v>
      </c>
      <c r="JS160" s="168">
        <v>94640</v>
      </c>
      <c r="JT160" s="168">
        <v>229627</v>
      </c>
      <c r="JU160" s="21"/>
      <c r="JV160" s="21"/>
      <c r="JW160" s="168">
        <v>54434939</v>
      </c>
      <c r="JX160" s="168">
        <v>55094570</v>
      </c>
      <c r="JY160" s="21"/>
      <c r="JZ160" s="21"/>
      <c r="KA160" s="168">
        <v>4656835</v>
      </c>
      <c r="KB160" s="168">
        <v>4051038</v>
      </c>
      <c r="KC160" s="21"/>
      <c r="KD160" s="21"/>
      <c r="KE160" s="168">
        <v>21245397</v>
      </c>
      <c r="KF160" s="168">
        <v>23813962</v>
      </c>
      <c r="KG160" s="21"/>
      <c r="KH160" s="21"/>
      <c r="KI160" s="168">
        <v>28532707</v>
      </c>
      <c r="KJ160" s="168">
        <v>27229570</v>
      </c>
      <c r="KK160" s="21"/>
      <c r="KL160" s="168">
        <v>1147</v>
      </c>
      <c r="KM160" s="21"/>
      <c r="KN160" s="21"/>
      <c r="KO160" s="21"/>
      <c r="KP160" s="21"/>
      <c r="KQ160" s="168">
        <v>4578696</v>
      </c>
      <c r="KR160" s="168">
        <v>6163805</v>
      </c>
      <c r="KS160" s="21"/>
      <c r="KT160" s="21"/>
      <c r="KU160" s="168">
        <v>1264634</v>
      </c>
      <c r="KV160" s="168">
        <v>1264634</v>
      </c>
      <c r="KW160" s="21"/>
      <c r="KX160" s="21"/>
      <c r="KY160" s="21"/>
      <c r="KZ160" s="168">
        <v>6459</v>
      </c>
      <c r="LA160" s="168">
        <v>4485000</v>
      </c>
      <c r="LB160" s="168">
        <v>4485000</v>
      </c>
      <c r="LC160" s="21"/>
      <c r="LD160" s="21"/>
      <c r="LE160" s="168">
        <v>243395</v>
      </c>
      <c r="LF160" s="168">
        <v>179976</v>
      </c>
      <c r="LG160" s="21"/>
      <c r="LH160" s="21"/>
      <c r="LI160" s="168">
        <v>2245485</v>
      </c>
      <c r="LJ160" s="168">
        <v>2535597</v>
      </c>
      <c r="LK160" s="168">
        <v>6000618</v>
      </c>
      <c r="LL160" s="168">
        <v>6365000</v>
      </c>
      <c r="LM160" s="168">
        <v>69388</v>
      </c>
      <c r="LN160" s="168">
        <v>56823</v>
      </c>
      <c r="LO160" s="21"/>
      <c r="LP160" s="21"/>
      <c r="LQ160" s="21"/>
      <c r="LR160" s="21"/>
      <c r="LS160" s="21"/>
      <c r="LT160" s="21"/>
      <c r="LU160" s="168">
        <v>104964</v>
      </c>
      <c r="LV160" s="168">
        <v>93603</v>
      </c>
      <c r="LW160" s="168">
        <v>284925</v>
      </c>
      <c r="LX160" s="168">
        <v>282241</v>
      </c>
      <c r="LY160" s="21"/>
      <c r="LZ160" s="21"/>
      <c r="MA160" s="168">
        <v>28471589</v>
      </c>
      <c r="MB160" s="168">
        <v>28895405</v>
      </c>
      <c r="MC160" s="168">
        <v>15782</v>
      </c>
      <c r="MD160" s="168">
        <v>31131</v>
      </c>
      <c r="ME160" s="21"/>
      <c r="MF160" s="21"/>
      <c r="MG160" s="168">
        <v>1926330</v>
      </c>
      <c r="MH160" s="168">
        <v>1833008</v>
      </c>
      <c r="MI160" s="21"/>
      <c r="MJ160" s="21"/>
      <c r="MK160" s="21"/>
      <c r="ML160" s="21"/>
      <c r="MM160" s="168">
        <v>3735688</v>
      </c>
      <c r="MN160" s="168">
        <v>4308178</v>
      </c>
      <c r="MO160" s="168">
        <v>9141500</v>
      </c>
      <c r="MP160" s="168">
        <v>9145426</v>
      </c>
      <c r="MQ160" s="168">
        <v>1490888</v>
      </c>
      <c r="MR160" s="168">
        <v>1833534</v>
      </c>
      <c r="MS160" s="21"/>
      <c r="MT160" s="21"/>
      <c r="MU160" s="168">
        <v>8146768</v>
      </c>
      <c r="MV160" s="168">
        <v>8134632</v>
      </c>
      <c r="MW160" s="168">
        <v>137910</v>
      </c>
      <c r="MX160" s="168">
        <v>137270</v>
      </c>
      <c r="MY160" s="21"/>
      <c r="MZ160" s="21"/>
      <c r="NA160" s="21"/>
      <c r="NB160" s="21"/>
      <c r="NC160" s="168">
        <v>438118</v>
      </c>
      <c r="ND160" s="168">
        <v>615852</v>
      </c>
      <c r="NE160" s="21"/>
      <c r="NF160" s="21"/>
      <c r="NG160" s="168">
        <v>55114456</v>
      </c>
      <c r="NH160" s="168">
        <v>54540151</v>
      </c>
      <c r="NI160" s="21"/>
      <c r="NJ160" s="21"/>
      <c r="NK160" s="168">
        <v>19084372</v>
      </c>
      <c r="NL160" s="168">
        <v>19261501</v>
      </c>
      <c r="NM160" s="168">
        <v>45117246</v>
      </c>
      <c r="NN160" s="168">
        <v>48362398</v>
      </c>
      <c r="NO160" s="168">
        <v>132241152</v>
      </c>
      <c r="NP160" s="168">
        <v>135344251</v>
      </c>
      <c r="NQ160" s="168" t="s">
        <v>1544</v>
      </c>
      <c r="NR160" s="168" t="s">
        <v>797</v>
      </c>
      <c r="NS160" s="168" t="s">
        <v>770</v>
      </c>
      <c r="NT160" s="168" t="s">
        <v>771</v>
      </c>
      <c r="NU160" s="168">
        <v>9201</v>
      </c>
      <c r="NV160" s="168" t="s">
        <v>2104</v>
      </c>
      <c r="NW160" s="168" t="s">
        <v>28</v>
      </c>
      <c r="NX160" s="168" t="s">
        <v>25</v>
      </c>
      <c r="NY160" s="169">
        <v>42825</v>
      </c>
      <c r="NZ160" s="169">
        <v>42460</v>
      </c>
      <c r="OA160" s="169">
        <v>43042</v>
      </c>
      <c r="OB160" s="168" t="s">
        <v>1545</v>
      </c>
      <c r="OC160" s="168">
        <v>12</v>
      </c>
      <c r="OD160" s="168" t="s">
        <v>2105</v>
      </c>
      <c r="OE160" s="168" t="s">
        <v>2621</v>
      </c>
      <c r="OF160" s="168" t="s">
        <v>2622</v>
      </c>
      <c r="OG160" s="168" t="s">
        <v>2077</v>
      </c>
      <c r="OH160" s="168" t="s">
        <v>777</v>
      </c>
      <c r="OI160" s="168" t="s">
        <v>766</v>
      </c>
      <c r="OJ160" s="168" t="s">
        <v>3240</v>
      </c>
      <c r="OK160" s="168" t="s">
        <v>796</v>
      </c>
    </row>
    <row r="161" spans="1:401" x14ac:dyDescent="0.2">
      <c r="A161" s="170" t="str">
        <f>Liste[[#This Row],[Siren]]</f>
        <v>814735205</v>
      </c>
      <c r="B161" s="198" t="str">
        <f>Liste[[#This Row],[Dénomination]]&amp;" - comptes "&amp;YEAR(Liste[[#This Row],[Date de cloture de l''exercice]])</f>
        <v>PHP INVEST - comptes 2017</v>
      </c>
      <c r="C161" s="21"/>
      <c r="D161" s="21"/>
      <c r="E161" s="21"/>
      <c r="F161" s="168">
        <v>3263000</v>
      </c>
      <c r="G161" s="168">
        <v>2363000</v>
      </c>
      <c r="H161" s="168">
        <v>3263000</v>
      </c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168">
        <v>120000</v>
      </c>
      <c r="BD161" s="168">
        <v>3733000</v>
      </c>
      <c r="BE161" s="168">
        <v>3766000</v>
      </c>
      <c r="BF161" s="168">
        <v>3853000</v>
      </c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168">
        <v>1994000</v>
      </c>
      <c r="BY161" s="168">
        <v>4496000</v>
      </c>
      <c r="BZ161" s="168">
        <v>1994000</v>
      </c>
      <c r="CA161" s="21"/>
      <c r="CB161" s="21"/>
      <c r="CC161" s="21"/>
      <c r="CD161" s="168">
        <v>5376000</v>
      </c>
      <c r="CE161" s="168">
        <v>8094000</v>
      </c>
      <c r="CF161" s="168">
        <v>13020000</v>
      </c>
      <c r="CG161" s="168">
        <v>13469000</v>
      </c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168">
        <v>14391000</v>
      </c>
      <c r="EL161" s="168">
        <v>34663000</v>
      </c>
      <c r="EM161" s="168">
        <v>36272000</v>
      </c>
      <c r="EN161" s="168">
        <v>49054000</v>
      </c>
      <c r="EO161" s="168">
        <v>121000</v>
      </c>
      <c r="EP161" s="168">
        <v>11695000</v>
      </c>
      <c r="EQ161" s="168">
        <v>13177000</v>
      </c>
      <c r="ER161" s="168">
        <v>11816000</v>
      </c>
      <c r="ES161" s="168">
        <v>14512000</v>
      </c>
      <c r="ET161" s="168">
        <v>46358000</v>
      </c>
      <c r="EU161" s="168">
        <v>49449000</v>
      </c>
      <c r="EV161" s="168">
        <v>60870000</v>
      </c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168">
        <v>215000</v>
      </c>
      <c r="FH161" s="21"/>
      <c r="FI161" s="168">
        <v>-232000</v>
      </c>
      <c r="FJ161" s="168">
        <v>12000</v>
      </c>
      <c r="FK161" s="21"/>
      <c r="FL161" s="21"/>
      <c r="FM161" s="21"/>
      <c r="FN161" s="21"/>
      <c r="FO161" s="21"/>
      <c r="FP161" s="21"/>
      <c r="FQ161" s="168">
        <v>-4927000</v>
      </c>
      <c r="FR161" s="168">
        <v>-449000</v>
      </c>
      <c r="FS161" s="21"/>
      <c r="FT161" s="21"/>
      <c r="FU161" s="21"/>
      <c r="FV161" s="21"/>
      <c r="FW161" s="21"/>
      <c r="FX161" s="21"/>
      <c r="FY161" s="168">
        <v>-1000</v>
      </c>
      <c r="FZ161" s="168">
        <v>-132000</v>
      </c>
      <c r="GA161" s="21"/>
      <c r="GB161" s="21"/>
      <c r="GC161" s="21"/>
      <c r="GD161" s="21"/>
      <c r="GE161" s="21"/>
      <c r="GF161" s="21"/>
      <c r="GG161" s="21"/>
      <c r="GH161" s="21"/>
      <c r="GI161" s="21"/>
      <c r="GJ161" s="21"/>
      <c r="GK161" s="21"/>
      <c r="GL161" s="21"/>
      <c r="GM161" s="21"/>
      <c r="GN161" s="21"/>
      <c r="GO161" s="21"/>
      <c r="GP161" s="21"/>
      <c r="GQ161" s="21"/>
      <c r="GR161" s="21"/>
      <c r="GS161" s="168">
        <v>-7488000</v>
      </c>
      <c r="GT161" s="168">
        <v>-972000</v>
      </c>
      <c r="GU161" s="168">
        <v>-285000</v>
      </c>
      <c r="GV161" s="168">
        <v>-5000</v>
      </c>
      <c r="GW161" s="168">
        <v>54000</v>
      </c>
      <c r="GX161" s="168">
        <v>17000</v>
      </c>
      <c r="GY161" s="21"/>
      <c r="GZ161" s="21"/>
      <c r="HA161" s="21"/>
      <c r="HB161" s="21"/>
      <c r="HC161" s="21"/>
      <c r="HD161" s="21"/>
      <c r="HE161" s="168">
        <v>-14756000</v>
      </c>
      <c r="HF161" s="168">
        <v>-6447000</v>
      </c>
      <c r="HG161" s="21"/>
      <c r="HH161" s="21"/>
      <c r="HI161" s="168">
        <v>221000</v>
      </c>
      <c r="HJ161" s="168">
        <v>-567000</v>
      </c>
      <c r="HK161" s="21"/>
      <c r="HL161" s="21"/>
      <c r="HM161" s="21"/>
      <c r="HN161" s="21"/>
      <c r="HO161" s="21"/>
      <c r="HP161" s="21"/>
      <c r="HQ161" s="21"/>
      <c r="HR161" s="21"/>
      <c r="HS161" s="21"/>
      <c r="HT161" s="21"/>
      <c r="HU161" s="21"/>
      <c r="HV161" s="21"/>
      <c r="HW161" s="21"/>
      <c r="HX161" s="21"/>
      <c r="HY161" s="21"/>
      <c r="HZ161" s="21"/>
      <c r="IA161" s="21"/>
      <c r="IB161" s="21"/>
      <c r="IC161" s="21"/>
      <c r="ID161" s="21"/>
      <c r="IE161" s="168">
        <v>-600000</v>
      </c>
      <c r="IF161" s="168">
        <v>-305000</v>
      </c>
      <c r="IG161" s="21"/>
      <c r="IH161" s="21"/>
      <c r="II161" s="21"/>
      <c r="IJ161" s="21"/>
      <c r="IK161" s="21"/>
      <c r="IL161" s="21"/>
      <c r="IM161" s="21"/>
      <c r="IN161" s="21"/>
      <c r="IO161" s="21"/>
      <c r="IP161" s="21"/>
      <c r="IQ161" s="21"/>
      <c r="IR161" s="21"/>
      <c r="IS161" s="21"/>
      <c r="IT161" s="21"/>
      <c r="IU161" s="168">
        <v>-3023000</v>
      </c>
      <c r="IV161" s="168">
        <v>-746000</v>
      </c>
      <c r="IW161" s="168">
        <v>-2050000</v>
      </c>
      <c r="IX161" s="168">
        <v>-452000</v>
      </c>
      <c r="IY161" s="168">
        <v>-973000</v>
      </c>
      <c r="IZ161" s="168">
        <v>-295000</v>
      </c>
      <c r="JA161" s="21"/>
      <c r="JB161" s="21"/>
      <c r="JC161" s="21"/>
      <c r="JD161" s="21"/>
      <c r="JE161" s="168">
        <v>-16605000</v>
      </c>
      <c r="JF161" s="168">
        <v>-6073000</v>
      </c>
      <c r="JG161" s="21"/>
      <c r="JH161" s="21"/>
      <c r="JI161" s="21"/>
      <c r="JJ161" s="21"/>
      <c r="JK161" s="168">
        <v>-1086000</v>
      </c>
      <c r="JL161" s="168">
        <v>-298000</v>
      </c>
      <c r="JM161" s="168">
        <v>42876000</v>
      </c>
      <c r="JN161" s="168">
        <v>18036000</v>
      </c>
      <c r="JO161" s="168">
        <v>113000</v>
      </c>
      <c r="JP161" s="168">
        <v>4000</v>
      </c>
      <c r="JQ161" s="21"/>
      <c r="JR161" s="21"/>
      <c r="JS161" s="21"/>
      <c r="JT161" s="21"/>
      <c r="JU161" s="21"/>
      <c r="JV161" s="21"/>
      <c r="JW161" s="168">
        <v>42655000</v>
      </c>
      <c r="JX161" s="168">
        <v>18603000</v>
      </c>
      <c r="JY161" s="21"/>
      <c r="JZ161" s="21"/>
      <c r="KA161" s="21"/>
      <c r="KB161" s="21"/>
      <c r="KC161" s="21"/>
      <c r="KD161" s="21"/>
      <c r="KE161" s="21"/>
      <c r="KF161" s="21"/>
      <c r="KG161" s="21"/>
      <c r="KH161" s="21"/>
      <c r="KI161" s="21"/>
      <c r="KJ161" s="21"/>
      <c r="KK161" s="21"/>
      <c r="KL161" s="21"/>
      <c r="KM161" s="21"/>
      <c r="KN161" s="21"/>
      <c r="KO161" s="21"/>
      <c r="KP161" s="21"/>
      <c r="KQ161" s="21"/>
      <c r="KR161" s="21"/>
      <c r="KS161" s="21"/>
      <c r="KT161" s="21"/>
      <c r="KU161" s="21"/>
      <c r="KV161" s="21"/>
      <c r="KW161" s="21"/>
      <c r="KX161" s="21"/>
      <c r="KY161" s="21"/>
      <c r="KZ161" s="21"/>
      <c r="LA161" s="168">
        <v>27979000</v>
      </c>
      <c r="LB161" s="168">
        <v>27979000</v>
      </c>
      <c r="LC161" s="21"/>
      <c r="LD161" s="21"/>
      <c r="LE161" s="21"/>
      <c r="LF161" s="21"/>
      <c r="LG161" s="21"/>
      <c r="LH161" s="21"/>
      <c r="LI161" s="21"/>
      <c r="LJ161" s="21"/>
      <c r="LK161" s="168">
        <v>4403000</v>
      </c>
      <c r="LL161" s="168">
        <v>3417000</v>
      </c>
      <c r="LM161" s="21"/>
      <c r="LN161" s="21"/>
      <c r="LO161" s="21"/>
      <c r="LP161" s="21"/>
      <c r="LQ161" s="21"/>
      <c r="LR161" s="21"/>
      <c r="LS161" s="21"/>
      <c r="LT161" s="21"/>
      <c r="LU161" s="21"/>
      <c r="LV161" s="21"/>
      <c r="LW161" s="21"/>
      <c r="LX161" s="21"/>
      <c r="LY161" s="21"/>
      <c r="LZ161" s="21"/>
      <c r="MA161" s="21"/>
      <c r="MB161" s="21"/>
      <c r="MC161" s="168">
        <v>18201000</v>
      </c>
      <c r="MD161" s="168">
        <v>15339000</v>
      </c>
      <c r="ME161" s="21"/>
      <c r="MF161" s="21"/>
      <c r="MG161" s="21"/>
      <c r="MH161" s="21"/>
      <c r="MI161" s="21"/>
      <c r="MJ161" s="21"/>
      <c r="MK161" s="21"/>
      <c r="ML161" s="21"/>
      <c r="MM161" s="21"/>
      <c r="MN161" s="21"/>
      <c r="MO161" s="21"/>
      <c r="MP161" s="21"/>
      <c r="MQ161" s="21"/>
      <c r="MR161" s="21"/>
      <c r="MS161" s="21"/>
      <c r="MT161" s="21"/>
      <c r="MU161" s="21"/>
      <c r="MV161" s="21"/>
      <c r="MW161" s="21"/>
      <c r="MX161" s="21"/>
      <c r="MY161" s="21"/>
      <c r="MZ161" s="21"/>
      <c r="NA161" s="21"/>
      <c r="NB161" s="21"/>
      <c r="NC161" s="168">
        <v>-7488000</v>
      </c>
      <c r="ND161" s="168">
        <v>-972000</v>
      </c>
      <c r="NE161" s="21"/>
      <c r="NF161" s="21"/>
      <c r="NG161" s="168">
        <v>19591000</v>
      </c>
      <c r="NH161" s="168">
        <v>26921000</v>
      </c>
      <c r="NI161" s="21"/>
      <c r="NJ161" s="21"/>
      <c r="NK161" s="168">
        <v>600000</v>
      </c>
      <c r="NL161" s="168">
        <v>560000</v>
      </c>
      <c r="NM161" s="168">
        <v>25512000</v>
      </c>
      <c r="NN161" s="168">
        <v>21809000</v>
      </c>
      <c r="NO161" s="168">
        <v>46358000</v>
      </c>
      <c r="NP161" s="168">
        <v>49449000</v>
      </c>
      <c r="NQ161" s="168" t="s">
        <v>1315</v>
      </c>
      <c r="NR161" s="168" t="s">
        <v>797</v>
      </c>
      <c r="NS161" s="168" t="s">
        <v>770</v>
      </c>
      <c r="NT161" s="168" t="s">
        <v>771</v>
      </c>
      <c r="NU161" s="168">
        <v>9401</v>
      </c>
      <c r="NV161" s="168" t="s">
        <v>2104</v>
      </c>
      <c r="NW161" s="168" t="s">
        <v>28</v>
      </c>
      <c r="NX161" s="168" t="s">
        <v>25</v>
      </c>
      <c r="NY161" s="169">
        <v>42825</v>
      </c>
      <c r="NZ161" s="169">
        <v>42460</v>
      </c>
      <c r="OA161" s="169">
        <v>43055</v>
      </c>
      <c r="OB161" s="168" t="s">
        <v>1546</v>
      </c>
      <c r="OC161" s="168">
        <v>12</v>
      </c>
      <c r="OD161" s="168" t="s">
        <v>2623</v>
      </c>
      <c r="OE161" s="168" t="s">
        <v>2624</v>
      </c>
      <c r="OF161" s="168" t="s">
        <v>2625</v>
      </c>
      <c r="OG161" s="168" t="s">
        <v>2078</v>
      </c>
      <c r="OH161" s="168" t="s">
        <v>808</v>
      </c>
      <c r="OI161" s="168" t="s">
        <v>766</v>
      </c>
      <c r="OJ161" s="168" t="s">
        <v>3240</v>
      </c>
      <c r="OK161" s="168" t="s">
        <v>796</v>
      </c>
    </row>
    <row r="162" spans="1:401" x14ac:dyDescent="0.2">
      <c r="A162" s="170" t="str">
        <f>Liste[[#This Row],[Siren]]</f>
        <v>480643139</v>
      </c>
      <c r="B162" s="198" t="str">
        <f>Liste[[#This Row],[Dénomination]]&amp;" - comptes "&amp;YEAR(Liste[[#This Row],[Date de cloture de l''exercice]])</f>
        <v>DIDAXIS - comptes 2017</v>
      </c>
      <c r="C162" s="21"/>
      <c r="D162" s="21"/>
      <c r="E162" s="21"/>
      <c r="F162" s="168">
        <v>3067924</v>
      </c>
      <c r="G162" s="21"/>
      <c r="H162" s="168">
        <v>3067924</v>
      </c>
      <c r="I162" s="168">
        <v>222099</v>
      </c>
      <c r="J162" s="168">
        <v>670159</v>
      </c>
      <c r="K162" s="21"/>
      <c r="L162" s="168">
        <v>892258</v>
      </c>
      <c r="M162" s="21"/>
      <c r="N162" s="168">
        <v>91475</v>
      </c>
      <c r="O162" s="21"/>
      <c r="P162" s="168">
        <v>91475</v>
      </c>
      <c r="Q162" s="21"/>
      <c r="R162" s="21"/>
      <c r="S162" s="21"/>
      <c r="T162" s="21"/>
      <c r="U162" s="21"/>
      <c r="V162" s="168">
        <v>92762</v>
      </c>
      <c r="W162" s="21"/>
      <c r="X162" s="168">
        <v>92762</v>
      </c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168">
        <v>78951</v>
      </c>
      <c r="BA162" s="21"/>
      <c r="BB162" s="168">
        <v>78951</v>
      </c>
      <c r="BC162" s="168">
        <v>314134</v>
      </c>
      <c r="BD162" s="168">
        <v>6773105</v>
      </c>
      <c r="BE162" s="21"/>
      <c r="BF162" s="168">
        <v>7087239</v>
      </c>
      <c r="BG162" s="168">
        <v>63214</v>
      </c>
      <c r="BH162" s="168">
        <v>285160</v>
      </c>
      <c r="BI162" s="21"/>
      <c r="BJ162" s="168">
        <v>348374</v>
      </c>
      <c r="BK162" s="168">
        <v>331649</v>
      </c>
      <c r="BL162" s="168">
        <v>2668351</v>
      </c>
      <c r="BM162" s="21"/>
      <c r="BN162" s="168">
        <v>3000000</v>
      </c>
      <c r="BO162" s="21"/>
      <c r="BP162" s="21"/>
      <c r="BQ162" s="21"/>
      <c r="BR162" s="21"/>
      <c r="BS162" s="21"/>
      <c r="BT162" s="21"/>
      <c r="BU162" s="21"/>
      <c r="BV162" s="21"/>
      <c r="BW162" s="21"/>
      <c r="BX162" s="168">
        <v>4963525</v>
      </c>
      <c r="BY162" s="21"/>
      <c r="BZ162" s="168">
        <v>4963525</v>
      </c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168">
        <v>2375</v>
      </c>
      <c r="DD162" s="21"/>
      <c r="DE162" s="168">
        <v>2375</v>
      </c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168">
        <v>616962</v>
      </c>
      <c r="EL162" s="168">
        <v>3810282</v>
      </c>
      <c r="EM162" s="21"/>
      <c r="EN162" s="168">
        <v>4427244</v>
      </c>
      <c r="EO162" s="168">
        <v>314134</v>
      </c>
      <c r="EP162" s="168">
        <v>14883504</v>
      </c>
      <c r="EQ162" s="21"/>
      <c r="ER162" s="168">
        <v>15197638</v>
      </c>
      <c r="ES162" s="168">
        <v>931095</v>
      </c>
      <c r="ET162" s="168">
        <v>18693786</v>
      </c>
      <c r="EU162" s="21"/>
      <c r="EV162" s="168">
        <v>19624882</v>
      </c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168">
        <v>84392</v>
      </c>
      <c r="FJ162" s="21"/>
      <c r="FK162" s="21"/>
      <c r="FL162" s="21"/>
      <c r="FM162" s="168">
        <v>42933</v>
      </c>
      <c r="FN162" s="21"/>
      <c r="FO162" s="168">
        <v>1351</v>
      </c>
      <c r="FP162" s="21"/>
      <c r="FQ162" s="21"/>
      <c r="FR162" s="21"/>
      <c r="FS162" s="168">
        <v>17500</v>
      </c>
      <c r="FT162" s="21"/>
      <c r="FU162" s="21"/>
      <c r="FV162" s="21"/>
      <c r="FW162" s="168">
        <v>191446</v>
      </c>
      <c r="FX162" s="21"/>
      <c r="FY162" s="21"/>
      <c r="FZ162" s="21"/>
      <c r="GA162" s="21"/>
      <c r="GB162" s="21"/>
      <c r="GC162" s="168">
        <v>44944</v>
      </c>
      <c r="GD162" s="21"/>
      <c r="GE162" s="168">
        <v>101233</v>
      </c>
      <c r="GF162" s="21"/>
      <c r="GG162" s="21"/>
      <c r="GH162" s="21"/>
      <c r="GI162" s="21"/>
      <c r="GJ162" s="21"/>
      <c r="GK162" s="21"/>
      <c r="GL162" s="21"/>
      <c r="GM162" s="21"/>
      <c r="GN162" s="21"/>
      <c r="GO162" s="21"/>
      <c r="GP162" s="21"/>
      <c r="GQ162" s="21"/>
      <c r="GR162" s="21"/>
      <c r="GS162" s="21"/>
      <c r="GT162" s="21"/>
      <c r="GU162" s="168">
        <v>61785</v>
      </c>
      <c r="GV162" s="21"/>
      <c r="GW162" s="168">
        <v>146177</v>
      </c>
      <c r="GX162" s="21"/>
      <c r="GY162" s="21"/>
      <c r="GZ162" s="21"/>
      <c r="HA162" s="168">
        <v>7960</v>
      </c>
      <c r="HB162" s="21"/>
      <c r="HC162" s="168">
        <v>6454282</v>
      </c>
      <c r="HD162" s="21"/>
      <c r="HE162" s="168">
        <v>3520</v>
      </c>
      <c r="HF162" s="21"/>
      <c r="HG162" s="21"/>
      <c r="HH162" s="21"/>
      <c r="HI162" s="168">
        <v>380</v>
      </c>
      <c r="HJ162" s="21"/>
      <c r="HK162" s="21"/>
      <c r="HL162" s="21"/>
      <c r="HM162" s="21"/>
      <c r="HN162" s="21"/>
      <c r="HO162" s="168">
        <v>9575291</v>
      </c>
      <c r="HP162" s="21"/>
      <c r="HQ162" s="168">
        <v>12</v>
      </c>
      <c r="HR162" s="21"/>
      <c r="HS162" s="168">
        <v>552</v>
      </c>
      <c r="HT162" s="21"/>
      <c r="HU162" s="168">
        <v>242524</v>
      </c>
      <c r="HV162" s="21"/>
      <c r="HW162" s="21"/>
      <c r="HX162" s="21"/>
      <c r="HY162" s="168">
        <v>89000</v>
      </c>
      <c r="HZ162" s="21"/>
      <c r="IA162" s="168">
        <v>170702</v>
      </c>
      <c r="IB162" s="21"/>
      <c r="IC162" s="21"/>
      <c r="ID162" s="21"/>
      <c r="IE162" s="168">
        <v>810261</v>
      </c>
      <c r="IF162" s="21"/>
      <c r="IG162" s="168">
        <v>69168</v>
      </c>
      <c r="IH162" s="21"/>
      <c r="II162" s="21"/>
      <c r="IJ162" s="21"/>
      <c r="IK162" s="21"/>
      <c r="IL162" s="21"/>
      <c r="IM162" s="21"/>
      <c r="IN162" s="21"/>
      <c r="IO162" s="168">
        <v>3801</v>
      </c>
      <c r="IP162" s="21"/>
      <c r="IQ162" s="21"/>
      <c r="IR162" s="21"/>
      <c r="IS162" s="21"/>
      <c r="IT162" s="21"/>
      <c r="IU162" s="168">
        <v>369933</v>
      </c>
      <c r="IV162" s="21"/>
      <c r="IW162" s="168">
        <v>434759</v>
      </c>
      <c r="IX162" s="21"/>
      <c r="IY162" s="168">
        <v>-64826</v>
      </c>
      <c r="IZ162" s="21"/>
      <c r="JA162" s="168">
        <v>19049</v>
      </c>
      <c r="JB162" s="21"/>
      <c r="JC162" s="21"/>
      <c r="JD162" s="21"/>
      <c r="JE162" s="168">
        <v>23348881</v>
      </c>
      <c r="JF162" s="21"/>
      <c r="JG162" s="21"/>
      <c r="JH162" s="21"/>
      <c r="JI162" s="168">
        <v>40702422</v>
      </c>
      <c r="JJ162" s="21"/>
      <c r="JK162" s="168">
        <v>69179</v>
      </c>
      <c r="JL162" s="21"/>
      <c r="JM162" s="168">
        <v>41137181</v>
      </c>
      <c r="JN162" s="21"/>
      <c r="JO162" s="168">
        <v>4353</v>
      </c>
      <c r="JP162" s="21"/>
      <c r="JQ162" s="21"/>
      <c r="JR162" s="21"/>
      <c r="JS162" s="21"/>
      <c r="JT162" s="21"/>
      <c r="JU162" s="21"/>
      <c r="JV162" s="168">
        <v>41117752</v>
      </c>
      <c r="JW162" s="168">
        <v>41117752</v>
      </c>
      <c r="JX162" s="21"/>
      <c r="JY162" s="21"/>
      <c r="JZ162" s="21"/>
      <c r="KA162" s="21"/>
      <c r="KB162" s="21"/>
      <c r="KC162" s="21"/>
      <c r="KD162" s="168">
        <v>41117752</v>
      </c>
      <c r="KE162" s="168">
        <v>41117752</v>
      </c>
      <c r="KF162" s="21"/>
      <c r="KG162" s="21"/>
      <c r="KH162" s="21"/>
      <c r="KI162" s="21"/>
      <c r="KJ162" s="21"/>
      <c r="KK162" s="21"/>
      <c r="KL162" s="21"/>
      <c r="KM162" s="21"/>
      <c r="KN162" s="21"/>
      <c r="KO162" s="21"/>
      <c r="KP162" s="21"/>
      <c r="KQ162" s="168">
        <v>3720</v>
      </c>
      <c r="KR162" s="21"/>
      <c r="KS162" s="21"/>
      <c r="KT162" s="21"/>
      <c r="KU162" s="21"/>
      <c r="KV162" s="21"/>
      <c r="KW162" s="21"/>
      <c r="KX162" s="21"/>
      <c r="KY162" s="21"/>
      <c r="KZ162" s="21"/>
      <c r="LA162" s="168">
        <v>1000000</v>
      </c>
      <c r="LB162" s="21"/>
      <c r="LC162" s="21"/>
      <c r="LD162" s="21"/>
      <c r="LE162" s="21"/>
      <c r="LF162" s="21"/>
      <c r="LG162" s="21"/>
      <c r="LH162" s="21"/>
      <c r="LI162" s="168">
        <v>6348253</v>
      </c>
      <c r="LJ162" s="21"/>
      <c r="LK162" s="168">
        <v>7830566</v>
      </c>
      <c r="LL162" s="21"/>
      <c r="LM162" s="21"/>
      <c r="LN162" s="21"/>
      <c r="LO162" s="21"/>
      <c r="LP162" s="21"/>
      <c r="LQ162" s="21"/>
      <c r="LR162" s="21"/>
      <c r="LS162" s="21"/>
      <c r="LT162" s="21"/>
      <c r="LU162" s="21"/>
      <c r="LV162" s="21"/>
      <c r="LW162" s="21"/>
      <c r="LX162" s="21"/>
      <c r="LY162" s="21"/>
      <c r="LZ162" s="21"/>
      <c r="MA162" s="168">
        <v>2105190</v>
      </c>
      <c r="MB162" s="21"/>
      <c r="MC162" s="168">
        <v>60335</v>
      </c>
      <c r="MD162" s="21"/>
      <c r="ME162" s="21"/>
      <c r="MF162" s="21"/>
      <c r="MG162" s="21"/>
      <c r="MH162" s="21"/>
      <c r="MI162" s="21"/>
      <c r="MJ162" s="21"/>
      <c r="MK162" s="21"/>
      <c r="ML162" s="21"/>
      <c r="MM162" s="168">
        <v>8</v>
      </c>
      <c r="MN162" s="21"/>
      <c r="MO162" s="21"/>
      <c r="MP162" s="21"/>
      <c r="MQ162" s="168">
        <v>519456</v>
      </c>
      <c r="MR162" s="21"/>
      <c r="MS162" s="21"/>
      <c r="MT162" s="21"/>
      <c r="MU162" s="168">
        <v>116129</v>
      </c>
      <c r="MV162" s="21"/>
      <c r="MW162" s="168">
        <v>107251</v>
      </c>
      <c r="MX162" s="21"/>
      <c r="MY162" s="168">
        <v>340000</v>
      </c>
      <c r="MZ162" s="21"/>
      <c r="NA162" s="21"/>
      <c r="NB162" s="21"/>
      <c r="NC162" s="168">
        <v>262879</v>
      </c>
      <c r="ND162" s="21"/>
      <c r="NE162" s="21"/>
      <c r="NF162" s="21"/>
      <c r="NG162" s="168">
        <v>1826259</v>
      </c>
      <c r="NH162" s="21"/>
      <c r="NI162" s="21"/>
      <c r="NJ162" s="21"/>
      <c r="NK162" s="21"/>
      <c r="NL162" s="21"/>
      <c r="NM162" s="168">
        <v>16348071</v>
      </c>
      <c r="NN162" s="21"/>
      <c r="NO162" s="168">
        <v>18693786</v>
      </c>
      <c r="NP162" s="21"/>
      <c r="NQ162" s="168" t="s">
        <v>864</v>
      </c>
      <c r="NR162" s="168" t="s">
        <v>779</v>
      </c>
      <c r="NS162" s="168" t="s">
        <v>770</v>
      </c>
      <c r="NT162" s="168" t="s">
        <v>771</v>
      </c>
      <c r="NU162" s="168">
        <v>7501</v>
      </c>
      <c r="NV162" s="168" t="s">
        <v>2105</v>
      </c>
      <c r="NW162" s="168" t="s">
        <v>28</v>
      </c>
      <c r="NX162" s="168" t="s">
        <v>25</v>
      </c>
      <c r="NY162" s="169">
        <v>42825</v>
      </c>
      <c r="NZ162" s="169">
        <v>42460</v>
      </c>
      <c r="OA162" s="169">
        <v>43038</v>
      </c>
      <c r="OB162" s="168" t="s">
        <v>1547</v>
      </c>
      <c r="OC162" s="168">
        <v>12</v>
      </c>
      <c r="OD162" s="168" t="s">
        <v>2105</v>
      </c>
      <c r="OE162" s="168" t="s">
        <v>2434</v>
      </c>
      <c r="OF162" s="168" t="s">
        <v>2626</v>
      </c>
      <c r="OG162" s="168" t="s">
        <v>2079</v>
      </c>
      <c r="OH162" s="168" t="s">
        <v>765</v>
      </c>
      <c r="OI162" s="168" t="s">
        <v>766</v>
      </c>
      <c r="OJ162" s="168" t="s">
        <v>835</v>
      </c>
      <c r="OK162" s="168" t="s">
        <v>778</v>
      </c>
    </row>
    <row r="163" spans="1:401" x14ac:dyDescent="0.2">
      <c r="A163" s="170" t="str">
        <f>Liste[[#This Row],[Siren]]</f>
        <v>428690838</v>
      </c>
      <c r="B163" s="198" t="str">
        <f>Liste[[#This Row],[Dénomination]]&amp;" - comptes "&amp;YEAR(Liste[[#This Row],[Date de cloture de l''exercice]])</f>
        <v>MNL INVESTISSEMENTS - comptes 2017</v>
      </c>
      <c r="C163" s="21"/>
      <c r="D163" s="21"/>
      <c r="E163" s="21"/>
      <c r="F163" s="168">
        <v>3057226</v>
      </c>
      <c r="G163" s="168">
        <v>2542027</v>
      </c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168">
        <v>426852</v>
      </c>
      <c r="BE163" s="168">
        <v>314918</v>
      </c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168">
        <v>1877786</v>
      </c>
      <c r="BY163" s="168">
        <v>1906377</v>
      </c>
      <c r="BZ163" s="21"/>
      <c r="CA163" s="21"/>
      <c r="CB163" s="21"/>
      <c r="CC163" s="21"/>
      <c r="CD163" s="21"/>
      <c r="CE163" s="168">
        <v>669913</v>
      </c>
      <c r="CF163" s="168">
        <v>719656</v>
      </c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168">
        <v>34713880</v>
      </c>
      <c r="EM163" s="168">
        <v>30220549</v>
      </c>
      <c r="EN163" s="21"/>
      <c r="EO163" s="21"/>
      <c r="EP163" s="168">
        <v>11180111</v>
      </c>
      <c r="EQ163" s="168">
        <v>10606325</v>
      </c>
      <c r="ER163" s="21"/>
      <c r="ES163" s="21"/>
      <c r="ET163" s="168">
        <v>45893991</v>
      </c>
      <c r="EU163" s="168">
        <v>40826874</v>
      </c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168">
        <v>166154</v>
      </c>
      <c r="FH163" s="21"/>
      <c r="FI163" s="168">
        <v>-20573</v>
      </c>
      <c r="FJ163" s="168">
        <v>-157200</v>
      </c>
      <c r="FK163" s="21"/>
      <c r="FL163" s="21"/>
      <c r="FM163" s="168">
        <v>67813</v>
      </c>
      <c r="FN163" s="168">
        <v>169689</v>
      </c>
      <c r="FO163" s="21"/>
      <c r="FP163" s="21"/>
      <c r="FQ163" s="21"/>
      <c r="FR163" s="21"/>
      <c r="FS163" s="168">
        <v>65</v>
      </c>
      <c r="FT163" s="21"/>
      <c r="FU163" s="168">
        <v>32188</v>
      </c>
      <c r="FV163" s="168">
        <v>11852</v>
      </c>
      <c r="FW163" s="168">
        <v>403535</v>
      </c>
      <c r="FX163" s="168">
        <v>600211</v>
      </c>
      <c r="FY163" s="21"/>
      <c r="FZ163" s="21"/>
      <c r="GA163" s="21"/>
      <c r="GB163" s="21"/>
      <c r="GC163" s="168">
        <v>49923</v>
      </c>
      <c r="GD163" s="168">
        <v>58581</v>
      </c>
      <c r="GE163" s="21"/>
      <c r="GF163" s="21"/>
      <c r="GG163" s="21"/>
      <c r="GH163" s="21"/>
      <c r="GI163" s="21"/>
      <c r="GJ163" s="21"/>
      <c r="GK163" s="21"/>
      <c r="GL163" s="168">
        <v>317</v>
      </c>
      <c r="GM163" s="168">
        <v>1072991</v>
      </c>
      <c r="GN163" s="168">
        <v>1301126</v>
      </c>
      <c r="GO163" s="168">
        <v>1122734</v>
      </c>
      <c r="GP163" s="168">
        <v>1350869</v>
      </c>
      <c r="GQ163" s="21"/>
      <c r="GR163" s="21"/>
      <c r="GS163" s="168">
        <v>1070161</v>
      </c>
      <c r="GT163" s="168">
        <v>1290971</v>
      </c>
      <c r="GU163" s="168">
        <v>406112</v>
      </c>
      <c r="GV163" s="168">
        <v>220505</v>
      </c>
      <c r="GW163" s="168">
        <v>385539</v>
      </c>
      <c r="GX163" s="168">
        <v>63305</v>
      </c>
      <c r="GY163" s="168">
        <v>53828474</v>
      </c>
      <c r="GZ163" s="168">
        <v>54484653</v>
      </c>
      <c r="HA163" s="168">
        <v>88214</v>
      </c>
      <c r="HB163" s="168">
        <v>74779</v>
      </c>
      <c r="HC163" s="168">
        <v>4471757</v>
      </c>
      <c r="HD163" s="168">
        <v>4173908</v>
      </c>
      <c r="HE163" s="168">
        <v>41864</v>
      </c>
      <c r="HF163" s="168">
        <v>6393</v>
      </c>
      <c r="HG163" s="168">
        <v>21170</v>
      </c>
      <c r="HH163" s="168">
        <v>41254</v>
      </c>
      <c r="HI163" s="168">
        <v>4486</v>
      </c>
      <c r="HJ163" s="168">
        <v>7293</v>
      </c>
      <c r="HK163" s="21"/>
      <c r="HL163" s="21"/>
      <c r="HM163" s="21"/>
      <c r="HN163" s="21"/>
      <c r="HO163" s="168">
        <v>1376782</v>
      </c>
      <c r="HP163" s="168">
        <v>1322335</v>
      </c>
      <c r="HQ163" s="21"/>
      <c r="HR163" s="21"/>
      <c r="HS163" s="21"/>
      <c r="HT163" s="21"/>
      <c r="HU163" s="168">
        <v>1641625</v>
      </c>
      <c r="HV163" s="168">
        <v>1533078</v>
      </c>
      <c r="HW163" s="168">
        <v>222682</v>
      </c>
      <c r="HX163" s="168">
        <v>11290</v>
      </c>
      <c r="HY163" s="21"/>
      <c r="HZ163" s="21"/>
      <c r="IA163" s="21"/>
      <c r="IB163" s="21"/>
      <c r="IC163" s="21"/>
      <c r="ID163" s="21"/>
      <c r="IE163" s="168">
        <v>1711620</v>
      </c>
      <c r="IF163" s="168">
        <v>1293457</v>
      </c>
      <c r="IG163" s="168">
        <v>157559</v>
      </c>
      <c r="IH163" s="168">
        <v>149332</v>
      </c>
      <c r="II163" s="21"/>
      <c r="IJ163" s="21"/>
      <c r="IK163" s="21"/>
      <c r="IL163" s="21"/>
      <c r="IM163" s="21"/>
      <c r="IN163" s="21"/>
      <c r="IO163" s="21"/>
      <c r="IP163" s="21"/>
      <c r="IQ163" s="168">
        <v>2350</v>
      </c>
      <c r="IR163" s="168">
        <v>121961</v>
      </c>
      <c r="IS163" s="21"/>
      <c r="IT163" s="21"/>
      <c r="IU163" s="168">
        <v>1579030</v>
      </c>
      <c r="IV163" s="168">
        <v>2120132</v>
      </c>
      <c r="IW163" s="168">
        <v>1712659</v>
      </c>
      <c r="IX163" s="168">
        <v>2105470</v>
      </c>
      <c r="IY163" s="168">
        <v>-133629</v>
      </c>
      <c r="IZ163" s="168">
        <v>14662</v>
      </c>
      <c r="JA163" s="168">
        <v>286766</v>
      </c>
      <c r="JB163" s="168">
        <v>296634</v>
      </c>
      <c r="JC163" s="21"/>
      <c r="JD163" s="21"/>
      <c r="JE163" s="168">
        <v>5115469</v>
      </c>
      <c r="JF163" s="168">
        <v>4731240</v>
      </c>
      <c r="JG163" s="21"/>
      <c r="JH163" s="21"/>
      <c r="JI163" s="168">
        <v>68638091</v>
      </c>
      <c r="JJ163" s="168">
        <v>67800193</v>
      </c>
      <c r="JK163" s="168">
        <v>157774</v>
      </c>
      <c r="JL163" s="168">
        <v>149332</v>
      </c>
      <c r="JM163" s="168">
        <v>70350750</v>
      </c>
      <c r="JN163" s="168">
        <v>69905663</v>
      </c>
      <c r="JO163" s="168">
        <v>24145</v>
      </c>
      <c r="JP163" s="168">
        <v>163994</v>
      </c>
      <c r="JQ163" s="168">
        <v>-216733</v>
      </c>
      <c r="JR163" s="168">
        <v>-132659</v>
      </c>
      <c r="JS163" s="168">
        <v>1492</v>
      </c>
      <c r="JT163" s="168">
        <v>98</v>
      </c>
      <c r="JU163" s="21"/>
      <c r="JV163" s="21"/>
      <c r="JW163" s="168">
        <v>70059498</v>
      </c>
      <c r="JX163" s="168">
        <v>69601736</v>
      </c>
      <c r="JY163" s="21"/>
      <c r="JZ163" s="21"/>
      <c r="KA163" s="21"/>
      <c r="KB163" s="21"/>
      <c r="KC163" s="21"/>
      <c r="KD163" s="21"/>
      <c r="KE163" s="168">
        <v>2172833</v>
      </c>
      <c r="KF163" s="168">
        <v>1793035</v>
      </c>
      <c r="KG163" s="21"/>
      <c r="KH163" s="21"/>
      <c r="KI163" s="168">
        <v>67886665</v>
      </c>
      <c r="KJ163" s="168">
        <v>67808701</v>
      </c>
      <c r="KK163" s="21"/>
      <c r="KL163" s="21"/>
      <c r="KM163" s="21"/>
      <c r="KN163" s="21"/>
      <c r="KO163" s="21"/>
      <c r="KP163" s="21"/>
      <c r="KQ163" s="21"/>
      <c r="KR163" s="21"/>
      <c r="KS163" s="21"/>
      <c r="KT163" s="21"/>
      <c r="KU163" s="21"/>
      <c r="KV163" s="21"/>
      <c r="KW163" s="21"/>
      <c r="KX163" s="21"/>
      <c r="KY163" s="21"/>
      <c r="KZ163" s="21"/>
      <c r="LA163" s="168">
        <v>40000</v>
      </c>
      <c r="LB163" s="168">
        <v>40000</v>
      </c>
      <c r="LC163" s="21"/>
      <c r="LD163" s="21"/>
      <c r="LE163" s="21"/>
      <c r="LF163" s="21"/>
      <c r="LG163" s="21"/>
      <c r="LH163" s="21"/>
      <c r="LI163" s="21"/>
      <c r="LJ163" s="21"/>
      <c r="LK163" s="168">
        <v>5757865</v>
      </c>
      <c r="LL163" s="168">
        <v>5391009</v>
      </c>
      <c r="LM163" s="21"/>
      <c r="LN163" s="21"/>
      <c r="LO163" s="21"/>
      <c r="LP163" s="21"/>
      <c r="LQ163" s="21"/>
      <c r="LR163" s="21"/>
      <c r="LS163" s="21"/>
      <c r="LT163" s="21"/>
      <c r="LU163" s="21"/>
      <c r="LV163" s="21"/>
      <c r="LW163" s="21"/>
      <c r="LX163" s="21"/>
      <c r="LY163" s="21"/>
      <c r="LZ163" s="21"/>
      <c r="MA163" s="21"/>
      <c r="MB163" s="21"/>
      <c r="MC163" s="168">
        <v>19996134</v>
      </c>
      <c r="MD163" s="168">
        <v>16981305</v>
      </c>
      <c r="ME163" s="21"/>
      <c r="MF163" s="21"/>
      <c r="MG163" s="168">
        <v>157005</v>
      </c>
      <c r="MH163" s="168">
        <v>124817</v>
      </c>
      <c r="MI163" s="21"/>
      <c r="MJ163" s="21"/>
      <c r="MK163" s="21"/>
      <c r="ML163" s="21"/>
      <c r="MM163" s="21"/>
      <c r="MN163" s="21"/>
      <c r="MO163" s="21"/>
      <c r="MP163" s="21"/>
      <c r="MQ163" s="21"/>
      <c r="MR163" s="21"/>
      <c r="MS163" s="21"/>
      <c r="MT163" s="21"/>
      <c r="MU163" s="21"/>
      <c r="MV163" s="21"/>
      <c r="MW163" s="21"/>
      <c r="MX163" s="21"/>
      <c r="MY163" s="21"/>
      <c r="MZ163" s="21"/>
      <c r="NA163" s="21"/>
      <c r="NB163" s="21"/>
      <c r="NC163" s="168">
        <v>1070161</v>
      </c>
      <c r="ND163" s="168">
        <v>1290971</v>
      </c>
      <c r="NE163" s="21"/>
      <c r="NF163" s="21"/>
      <c r="NG163" s="168">
        <v>15993847</v>
      </c>
      <c r="NH163" s="168">
        <v>14922943</v>
      </c>
      <c r="NI163" s="21"/>
      <c r="NJ163" s="21"/>
      <c r="NK163" s="168">
        <v>58972</v>
      </c>
      <c r="NL163" s="168">
        <v>56889</v>
      </c>
      <c r="NM163" s="168">
        <v>29535328</v>
      </c>
      <c r="NN163" s="168">
        <v>25710935</v>
      </c>
      <c r="NO163" s="168">
        <v>45893991</v>
      </c>
      <c r="NP163" s="168">
        <v>40826874</v>
      </c>
      <c r="NQ163" s="168" t="s">
        <v>1539</v>
      </c>
      <c r="NR163" s="168" t="s">
        <v>769</v>
      </c>
      <c r="NS163" s="168" t="s">
        <v>770</v>
      </c>
      <c r="NT163" s="168" t="s">
        <v>771</v>
      </c>
      <c r="NU163" s="168">
        <v>8302</v>
      </c>
      <c r="NV163" s="168" t="s">
        <v>2104</v>
      </c>
      <c r="NW163" s="168" t="s">
        <v>28</v>
      </c>
      <c r="NX163" s="168" t="s">
        <v>25</v>
      </c>
      <c r="NY163" s="169">
        <v>42825</v>
      </c>
      <c r="NZ163" s="169">
        <v>42460</v>
      </c>
      <c r="OA163" s="169">
        <v>43084</v>
      </c>
      <c r="OB163" s="168" t="s">
        <v>1540</v>
      </c>
      <c r="OC163" s="168">
        <v>12</v>
      </c>
      <c r="OD163" s="168" t="s">
        <v>2106</v>
      </c>
      <c r="OE163" s="168" t="s">
        <v>2241</v>
      </c>
      <c r="OF163" s="168" t="s">
        <v>2619</v>
      </c>
      <c r="OG163" s="168" t="s">
        <v>2075</v>
      </c>
      <c r="OH163" s="168" t="s">
        <v>849</v>
      </c>
      <c r="OI163" s="168" t="s">
        <v>766</v>
      </c>
      <c r="OJ163" s="168" t="s">
        <v>3240</v>
      </c>
      <c r="OK163" s="168" t="s">
        <v>767</v>
      </c>
    </row>
    <row r="164" spans="1:401" x14ac:dyDescent="0.2">
      <c r="A164" s="170" t="str">
        <f>Liste[[#This Row],[Siren]]</f>
        <v>417970233</v>
      </c>
      <c r="B164" s="198" t="str">
        <f>Liste[[#This Row],[Dénomination]]&amp;" - comptes "&amp;YEAR(Liste[[#This Row],[Date de cloture de l''exercice]])</f>
        <v>SPH HOLDING - comptes 2017</v>
      </c>
      <c r="C164" s="21"/>
      <c r="D164" s="21"/>
      <c r="E164" s="21"/>
      <c r="F164" s="168">
        <v>3560109</v>
      </c>
      <c r="G164" s="168">
        <v>3737806</v>
      </c>
      <c r="H164" s="168">
        <v>3560109</v>
      </c>
      <c r="I164" s="168">
        <v>665019</v>
      </c>
      <c r="J164" s="168">
        <v>1966174</v>
      </c>
      <c r="K164" s="168">
        <v>2119988</v>
      </c>
      <c r="L164" s="168">
        <v>2631193</v>
      </c>
      <c r="M164" s="21"/>
      <c r="N164" s="168">
        <v>62500</v>
      </c>
      <c r="O164" s="168">
        <v>62500</v>
      </c>
      <c r="P164" s="168">
        <v>62500</v>
      </c>
      <c r="Q164" s="21"/>
      <c r="R164" s="168">
        <v>11434</v>
      </c>
      <c r="S164" s="168">
        <v>11434</v>
      </c>
      <c r="T164" s="168">
        <v>11434</v>
      </c>
      <c r="U164" s="21"/>
      <c r="V164" s="21"/>
      <c r="W164" s="21"/>
      <c r="X164" s="21"/>
      <c r="Y164" s="21"/>
      <c r="Z164" s="168">
        <v>519373</v>
      </c>
      <c r="AA164" s="168">
        <v>511843</v>
      </c>
      <c r="AB164" s="168">
        <v>519373</v>
      </c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168">
        <v>182671</v>
      </c>
      <c r="BA164" s="168">
        <v>183276</v>
      </c>
      <c r="BB164" s="168">
        <v>182671</v>
      </c>
      <c r="BC164" s="168">
        <v>21894</v>
      </c>
      <c r="BD164" s="168">
        <v>1946676</v>
      </c>
      <c r="BE164" s="168">
        <v>1853543</v>
      </c>
      <c r="BF164" s="168">
        <v>1968570</v>
      </c>
      <c r="BG164" s="168">
        <v>60749</v>
      </c>
      <c r="BH164" s="168">
        <v>13077</v>
      </c>
      <c r="BI164" s="168">
        <v>10433</v>
      </c>
      <c r="BJ164" s="168">
        <v>73826</v>
      </c>
      <c r="BK164" s="168">
        <v>7121132</v>
      </c>
      <c r="BL164" s="168">
        <v>29707060</v>
      </c>
      <c r="BM164" s="168">
        <v>20738291</v>
      </c>
      <c r="BN164" s="168">
        <v>36828192</v>
      </c>
      <c r="BO164" s="21"/>
      <c r="BP164" s="21"/>
      <c r="BQ164" s="21"/>
      <c r="BR164" s="21"/>
      <c r="BS164" s="21"/>
      <c r="BT164" s="21"/>
      <c r="BU164" s="21"/>
      <c r="BV164" s="21"/>
      <c r="BW164" s="21"/>
      <c r="BX164" s="168">
        <v>601174</v>
      </c>
      <c r="BY164" s="168">
        <v>455660</v>
      </c>
      <c r="BZ164" s="168">
        <v>601174</v>
      </c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168">
        <v>115861</v>
      </c>
      <c r="CR164" s="168">
        <v>1371070</v>
      </c>
      <c r="CS164" s="168">
        <v>115861</v>
      </c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168">
        <v>8385598</v>
      </c>
      <c r="DE164" s="21"/>
      <c r="DF164" s="168">
        <v>2832917</v>
      </c>
      <c r="DG164" s="168">
        <v>1385543</v>
      </c>
      <c r="DH164" s="168">
        <v>1345492</v>
      </c>
      <c r="DI164" s="168">
        <v>4218460</v>
      </c>
      <c r="DJ164" s="21"/>
      <c r="DK164" s="168">
        <v>4330028</v>
      </c>
      <c r="DL164" s="168">
        <v>4397338</v>
      </c>
      <c r="DM164" s="168">
        <v>4330028</v>
      </c>
      <c r="DN164" s="21"/>
      <c r="DO164" s="168">
        <v>18486</v>
      </c>
      <c r="DP164" s="168">
        <v>19669</v>
      </c>
      <c r="DQ164" s="168">
        <v>18486</v>
      </c>
      <c r="DR164" s="21"/>
      <c r="DS164" s="21"/>
      <c r="DT164" s="21"/>
      <c r="DU164" s="21"/>
      <c r="DV164" s="21"/>
      <c r="DW164" s="168">
        <v>12178</v>
      </c>
      <c r="DX164" s="168">
        <v>18927</v>
      </c>
      <c r="DY164" s="168">
        <v>12178</v>
      </c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168">
        <v>10720864</v>
      </c>
      <c r="EL164" s="168">
        <v>43090635</v>
      </c>
      <c r="EM164" s="168">
        <v>43873722</v>
      </c>
      <c r="EN164" s="168">
        <v>53811499</v>
      </c>
      <c r="EO164" s="168">
        <v>21894</v>
      </c>
      <c r="EP164" s="168">
        <v>10753455</v>
      </c>
      <c r="EQ164" s="168">
        <v>10802676</v>
      </c>
      <c r="ER164" s="168">
        <v>10775349</v>
      </c>
      <c r="ES164" s="168">
        <v>10991890</v>
      </c>
      <c r="ET164" s="168">
        <v>55101119</v>
      </c>
      <c r="EU164" s="168">
        <v>54702626</v>
      </c>
      <c r="EV164" s="168">
        <v>66093009</v>
      </c>
      <c r="EW164" s="168">
        <v>41047</v>
      </c>
      <c r="EX164" s="168">
        <v>9297435</v>
      </c>
      <c r="EY164" s="168">
        <v>9298146</v>
      </c>
      <c r="EZ164" s="168">
        <v>9338482</v>
      </c>
      <c r="FA164" s="21"/>
      <c r="FB164" s="21"/>
      <c r="FC164" s="21"/>
      <c r="FD164" s="21"/>
      <c r="FE164" s="21"/>
      <c r="FF164" s="168">
        <v>218</v>
      </c>
      <c r="FG164" s="168">
        <v>66934</v>
      </c>
      <c r="FH164" s="168">
        <v>218</v>
      </c>
      <c r="FI164" s="168">
        <v>305359</v>
      </c>
      <c r="FJ164" s="168">
        <v>-373218</v>
      </c>
      <c r="FK164" s="21"/>
      <c r="FL164" s="21"/>
      <c r="FM164" s="21"/>
      <c r="FN164" s="21"/>
      <c r="FO164" s="21"/>
      <c r="FP164" s="21"/>
      <c r="FQ164" s="168">
        <v>13112</v>
      </c>
      <c r="FR164" s="168">
        <v>13112</v>
      </c>
      <c r="FS164" s="21"/>
      <c r="FT164" s="21"/>
      <c r="FU164" s="168">
        <v>-25642</v>
      </c>
      <c r="FV164" s="168">
        <v>2850</v>
      </c>
      <c r="FW164" s="168">
        <v>888780</v>
      </c>
      <c r="FX164" s="168">
        <v>595314</v>
      </c>
      <c r="FY164" s="168">
        <v>99031</v>
      </c>
      <c r="FZ164" s="168">
        <v>60091</v>
      </c>
      <c r="GA164" s="21"/>
      <c r="GB164" s="21"/>
      <c r="GC164" s="21"/>
      <c r="GD164" s="21"/>
      <c r="GE164" s="21"/>
      <c r="GF164" s="21"/>
      <c r="GG164" s="21"/>
      <c r="GH164" s="21"/>
      <c r="GI164" s="21"/>
      <c r="GJ164" s="21"/>
      <c r="GK164" s="21"/>
      <c r="GL164" s="21"/>
      <c r="GM164" s="168">
        <v>2215240</v>
      </c>
      <c r="GN164" s="168">
        <v>1560058</v>
      </c>
      <c r="GO164" s="168">
        <v>2228352</v>
      </c>
      <c r="GP164" s="168">
        <v>1573170</v>
      </c>
      <c r="GQ164" s="21"/>
      <c r="GR164" s="21"/>
      <c r="GS164" s="168">
        <v>2116209</v>
      </c>
      <c r="GT164" s="168">
        <v>1499967</v>
      </c>
      <c r="GU164" s="168">
        <v>78007</v>
      </c>
      <c r="GV164" s="168">
        <v>386958</v>
      </c>
      <c r="GW164" s="168">
        <v>383366</v>
      </c>
      <c r="GX164" s="168">
        <v>13740</v>
      </c>
      <c r="GY164" s="168">
        <v>45117893</v>
      </c>
      <c r="GZ164" s="168">
        <v>44193232</v>
      </c>
      <c r="HA164" s="21"/>
      <c r="HB164" s="21"/>
      <c r="HC164" s="168">
        <v>1867358</v>
      </c>
      <c r="HD164" s="168">
        <v>1735896</v>
      </c>
      <c r="HE164" s="168">
        <v>3151814</v>
      </c>
      <c r="HF164" s="168">
        <v>2705013</v>
      </c>
      <c r="HG164" s="21"/>
      <c r="HH164" s="21"/>
      <c r="HI164" s="168">
        <v>3151814</v>
      </c>
      <c r="HJ164" s="168">
        <v>2705013</v>
      </c>
      <c r="HK164" s="21"/>
      <c r="HL164" s="21"/>
      <c r="HM164" s="21"/>
      <c r="HN164" s="21"/>
      <c r="HO164" s="21"/>
      <c r="HP164" s="21"/>
      <c r="HQ164" s="21"/>
      <c r="HR164" s="21"/>
      <c r="HS164" s="21"/>
      <c r="HT164" s="21"/>
      <c r="HU164" s="168">
        <v>2097181</v>
      </c>
      <c r="HV164" s="168">
        <v>1829868</v>
      </c>
      <c r="HW164" s="168">
        <v>21894</v>
      </c>
      <c r="HX164" s="168">
        <v>77841</v>
      </c>
      <c r="HY164" s="21"/>
      <c r="HZ164" s="21"/>
      <c r="IA164" s="21"/>
      <c r="IB164" s="21"/>
      <c r="IC164" s="21"/>
      <c r="ID164" s="21"/>
      <c r="IE164" s="168">
        <v>887207</v>
      </c>
      <c r="IF164" s="168">
        <v>738026</v>
      </c>
      <c r="IG164" s="21"/>
      <c r="IH164" s="21"/>
      <c r="II164" s="21"/>
      <c r="IJ164" s="21"/>
      <c r="IK164" s="21"/>
      <c r="IL164" s="21"/>
      <c r="IM164" s="21"/>
      <c r="IN164" s="21"/>
      <c r="IO164" s="21"/>
      <c r="IP164" s="21"/>
      <c r="IQ164" s="21"/>
      <c r="IR164" s="21"/>
      <c r="IS164" s="21"/>
      <c r="IT164" s="21"/>
      <c r="IU164" s="168">
        <v>2786131</v>
      </c>
      <c r="IV164" s="168">
        <v>2544552</v>
      </c>
      <c r="IW164" s="168">
        <v>3041555</v>
      </c>
      <c r="IX164" s="168">
        <v>2845185</v>
      </c>
      <c r="IY164" s="168">
        <v>-255424</v>
      </c>
      <c r="IZ164" s="168">
        <v>-300633</v>
      </c>
      <c r="JA164" s="21"/>
      <c r="JB164" s="21"/>
      <c r="JC164" s="21"/>
      <c r="JD164" s="21"/>
      <c r="JE164" s="21"/>
      <c r="JF164" s="21"/>
      <c r="JG164" s="21"/>
      <c r="JH164" s="21"/>
      <c r="JI164" s="168">
        <v>12051132</v>
      </c>
      <c r="JJ164" s="168">
        <v>11373733</v>
      </c>
      <c r="JK164" s="21"/>
      <c r="JL164" s="21"/>
      <c r="JM164" s="21"/>
      <c r="JN164" s="21"/>
      <c r="JO164" s="168">
        <v>9053</v>
      </c>
      <c r="JP164" s="168">
        <v>8703</v>
      </c>
      <c r="JQ164" s="21"/>
      <c r="JR164" s="21"/>
      <c r="JS164" s="21"/>
      <c r="JT164" s="21"/>
      <c r="JU164" s="21"/>
      <c r="JV164" s="21"/>
      <c r="JW164" s="168">
        <v>56572325</v>
      </c>
      <c r="JX164" s="168">
        <v>55046567</v>
      </c>
      <c r="JY164" s="21"/>
      <c r="JZ164" s="21"/>
      <c r="KA164" s="21"/>
      <c r="KB164" s="21"/>
      <c r="KC164" s="21"/>
      <c r="KD164" s="21"/>
      <c r="KE164" s="21"/>
      <c r="KF164" s="21"/>
      <c r="KG164" s="21"/>
      <c r="KH164" s="21"/>
      <c r="KI164" s="168">
        <v>56572325</v>
      </c>
      <c r="KJ164" s="168">
        <v>55046567</v>
      </c>
      <c r="KK164" s="21"/>
      <c r="KL164" s="21"/>
      <c r="KM164" s="21"/>
      <c r="KN164" s="21"/>
      <c r="KO164" s="21"/>
      <c r="KP164" s="21"/>
      <c r="KQ164" s="168">
        <v>696022</v>
      </c>
      <c r="KR164" s="168">
        <v>465935</v>
      </c>
      <c r="KS164" s="21"/>
      <c r="KT164" s="21"/>
      <c r="KU164" s="168">
        <v>5976569</v>
      </c>
      <c r="KV164" s="168">
        <v>4661822</v>
      </c>
      <c r="KW164" s="21"/>
      <c r="KX164" s="21"/>
      <c r="KY164" s="168">
        <v>5455</v>
      </c>
      <c r="KZ164" s="168">
        <v>8718</v>
      </c>
      <c r="LA164" s="168">
        <v>40000</v>
      </c>
      <c r="LB164" s="168">
        <v>40000</v>
      </c>
      <c r="LC164" s="21"/>
      <c r="LD164" s="21"/>
      <c r="LE164" s="21"/>
      <c r="LF164" s="21"/>
      <c r="LG164" s="21"/>
      <c r="LH164" s="21"/>
      <c r="LI164" s="168">
        <v>2549379</v>
      </c>
      <c r="LJ164" s="168">
        <v>2320219</v>
      </c>
      <c r="LK164" s="168">
        <v>4265793</v>
      </c>
      <c r="LL164" s="168">
        <v>3806190</v>
      </c>
      <c r="LM164" s="168">
        <v>1255104</v>
      </c>
      <c r="LN164" s="168">
        <v>1468769</v>
      </c>
      <c r="LO164" s="21"/>
      <c r="LP164" s="21"/>
      <c r="LQ164" s="21"/>
      <c r="LR164" s="21"/>
      <c r="LS164" s="21"/>
      <c r="LT164" s="21"/>
      <c r="LU164" s="21"/>
      <c r="LV164" s="21"/>
      <c r="LW164" s="21"/>
      <c r="LX164" s="21"/>
      <c r="LY164" s="21"/>
      <c r="LZ164" s="21"/>
      <c r="MA164" s="168">
        <v>33550872</v>
      </c>
      <c r="MB164" s="168">
        <v>35424968</v>
      </c>
      <c r="MC164" s="168">
        <v>1752860</v>
      </c>
      <c r="MD164" s="168">
        <v>1836823</v>
      </c>
      <c r="ME164" s="21"/>
      <c r="MF164" s="21"/>
      <c r="MG164" s="168">
        <v>99965</v>
      </c>
      <c r="MH164" s="168">
        <v>99965</v>
      </c>
      <c r="MI164" s="21"/>
      <c r="MJ164" s="21"/>
      <c r="MK164" s="21"/>
      <c r="ML164" s="21"/>
      <c r="MM164" s="168">
        <v>436637</v>
      </c>
      <c r="MN164" s="168">
        <v>413738</v>
      </c>
      <c r="MO164" s="168">
        <v>92406</v>
      </c>
      <c r="MP164" s="168">
        <v>96838</v>
      </c>
      <c r="MQ164" s="21"/>
      <c r="MR164" s="168">
        <v>214629</v>
      </c>
      <c r="MS164" s="21"/>
      <c r="MT164" s="21"/>
      <c r="MU164" s="21"/>
      <c r="MV164" s="168">
        <v>-19424</v>
      </c>
      <c r="MW164" s="168">
        <v>4000</v>
      </c>
      <c r="MX164" s="168">
        <v>4000</v>
      </c>
      <c r="MY164" s="168">
        <v>1950680</v>
      </c>
      <c r="MZ164" s="168">
        <v>2134882</v>
      </c>
      <c r="NA164" s="21"/>
      <c r="NB164" s="21"/>
      <c r="NC164" s="168">
        <v>2116209</v>
      </c>
      <c r="ND164" s="168">
        <v>1499967</v>
      </c>
      <c r="NE164" s="21"/>
      <c r="NF164" s="21"/>
      <c r="NG164" s="168">
        <v>10087458</v>
      </c>
      <c r="NH164" s="168">
        <v>8321247</v>
      </c>
      <c r="NI164" s="168">
        <v>309168</v>
      </c>
      <c r="NJ164" s="168">
        <v>224586</v>
      </c>
      <c r="NK164" s="21"/>
      <c r="NL164" s="21"/>
      <c r="NM164" s="168">
        <v>44512122</v>
      </c>
      <c r="NN164" s="168">
        <v>45745360</v>
      </c>
      <c r="NO164" s="168">
        <v>55101119</v>
      </c>
      <c r="NP164" s="168">
        <v>54702626</v>
      </c>
      <c r="NQ164" s="168" t="s">
        <v>910</v>
      </c>
      <c r="NR164" s="168" t="s">
        <v>769</v>
      </c>
      <c r="NS164" s="168" t="s">
        <v>770</v>
      </c>
      <c r="NT164" s="168" t="s">
        <v>771</v>
      </c>
      <c r="NU164" s="168">
        <v>6901</v>
      </c>
      <c r="NV164" s="168" t="s">
        <v>2104</v>
      </c>
      <c r="NW164" s="168" t="s">
        <v>28</v>
      </c>
      <c r="NX164" s="168" t="s">
        <v>25</v>
      </c>
      <c r="NY164" s="169">
        <v>42825</v>
      </c>
      <c r="NZ164" s="169">
        <v>42460</v>
      </c>
      <c r="OA164" s="169">
        <v>43102</v>
      </c>
      <c r="OB164" s="168" t="s">
        <v>1356</v>
      </c>
      <c r="OC164" s="168">
        <v>12</v>
      </c>
      <c r="OD164" s="168" t="s">
        <v>2105</v>
      </c>
      <c r="OE164" s="168" t="s">
        <v>3284</v>
      </c>
      <c r="OF164" s="168" t="s">
        <v>2487</v>
      </c>
      <c r="OG164" s="168" t="s">
        <v>1983</v>
      </c>
      <c r="OH164" s="168" t="s">
        <v>819</v>
      </c>
      <c r="OI164" s="168" t="s">
        <v>766</v>
      </c>
      <c r="OJ164" s="168" t="s">
        <v>3240</v>
      </c>
      <c r="OK164" s="168" t="s">
        <v>767</v>
      </c>
    </row>
    <row r="165" spans="1:401" x14ac:dyDescent="0.2">
      <c r="A165" s="170" t="str">
        <f>Liste[[#This Row],[Siren]]</f>
        <v>967505967</v>
      </c>
      <c r="B165" s="198" t="str">
        <f>Liste[[#This Row],[Dénomination]]&amp;" - comptes "&amp;YEAR(Liste[[#This Row],[Date de cloture de l''exercice]])</f>
        <v>JTEKT EUROPE - comptes 2017</v>
      </c>
      <c r="C165" s="21"/>
      <c r="D165" s="21"/>
      <c r="E165" s="21"/>
      <c r="F165" s="168">
        <v>56860000</v>
      </c>
      <c r="G165" s="168">
        <v>57110000</v>
      </c>
      <c r="H165" s="21"/>
      <c r="I165" s="21"/>
      <c r="J165" s="168">
        <v>4430000</v>
      </c>
      <c r="K165" s="168">
        <v>3675000</v>
      </c>
      <c r="L165" s="21"/>
      <c r="M165" s="21"/>
      <c r="N165" s="168">
        <v>276000</v>
      </c>
      <c r="O165" s="168">
        <v>265000</v>
      </c>
      <c r="P165" s="21"/>
      <c r="Q165" s="21"/>
      <c r="R165" s="168">
        <v>45420000</v>
      </c>
      <c r="S165" s="168">
        <v>33996000</v>
      </c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168">
        <v>4692000</v>
      </c>
      <c r="AE165" s="168">
        <v>2551000</v>
      </c>
      <c r="AF165" s="21"/>
      <c r="AG165" s="21"/>
      <c r="AH165" s="21"/>
      <c r="AI165" s="21"/>
      <c r="AJ165" s="21"/>
      <c r="AK165" s="21"/>
      <c r="AL165" s="168">
        <v>1163000</v>
      </c>
      <c r="AM165" s="168">
        <v>386000</v>
      </c>
      <c r="AN165" s="21"/>
      <c r="AO165" s="21"/>
      <c r="AP165" s="21"/>
      <c r="AQ165" s="21"/>
      <c r="AR165" s="21"/>
      <c r="AS165" s="21"/>
      <c r="AT165" s="21"/>
      <c r="AU165" s="21"/>
      <c r="AV165" s="168">
        <v>3133000</v>
      </c>
      <c r="AW165" s="168">
        <v>2573000</v>
      </c>
      <c r="AX165" s="21"/>
      <c r="AY165" s="21"/>
      <c r="AZ165" s="168">
        <v>5668000</v>
      </c>
      <c r="BA165" s="168">
        <v>5088000</v>
      </c>
      <c r="BB165" s="21"/>
      <c r="BC165" s="21"/>
      <c r="BD165" s="168">
        <v>265248000</v>
      </c>
      <c r="BE165" s="168">
        <v>233697000</v>
      </c>
      <c r="BF165" s="21"/>
      <c r="BG165" s="21"/>
      <c r="BH165" s="168">
        <v>3615000</v>
      </c>
      <c r="BI165" s="168">
        <v>2106000</v>
      </c>
      <c r="BJ165" s="21"/>
      <c r="BK165" s="21"/>
      <c r="BL165" s="168">
        <v>47077000</v>
      </c>
      <c r="BM165" s="168">
        <v>43331000</v>
      </c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168">
        <v>705000</v>
      </c>
      <c r="BY165" s="168">
        <v>687000</v>
      </c>
      <c r="BZ165" s="21"/>
      <c r="CA165" s="21"/>
      <c r="CB165" s="21"/>
      <c r="CC165" s="21"/>
      <c r="CD165" s="21"/>
      <c r="CE165" s="21"/>
      <c r="CF165" s="21"/>
      <c r="CG165" s="21"/>
      <c r="CH165" s="21"/>
      <c r="CI165" s="168">
        <v>8995000</v>
      </c>
      <c r="CJ165" s="168">
        <v>6221000</v>
      </c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168">
        <v>26275000</v>
      </c>
      <c r="DD165" s="168">
        <v>19493000</v>
      </c>
      <c r="DE165" s="21"/>
      <c r="DF165" s="21"/>
      <c r="DG165" s="168">
        <v>104065000</v>
      </c>
      <c r="DH165" s="168">
        <v>112096000</v>
      </c>
      <c r="DI165" s="21"/>
      <c r="DJ165" s="21"/>
      <c r="DK165" s="21"/>
      <c r="DL165" s="21"/>
      <c r="DM165" s="21"/>
      <c r="DN165" s="21"/>
      <c r="DO165" s="168">
        <v>64376000</v>
      </c>
      <c r="DP165" s="168">
        <v>60775000</v>
      </c>
      <c r="DQ165" s="21"/>
      <c r="DR165" s="21"/>
      <c r="DS165" s="168">
        <v>8159000</v>
      </c>
      <c r="DT165" s="168">
        <v>8036000</v>
      </c>
      <c r="DU165" s="21"/>
      <c r="DV165" s="21"/>
      <c r="DW165" s="168">
        <v>61000</v>
      </c>
      <c r="DX165" s="168">
        <v>65000</v>
      </c>
      <c r="DY165" s="21"/>
      <c r="DZ165" s="21"/>
      <c r="EA165" s="21"/>
      <c r="EB165" s="21"/>
      <c r="EC165" s="21"/>
      <c r="ED165" s="168">
        <v>20758000</v>
      </c>
      <c r="EE165" s="168">
        <v>19774000</v>
      </c>
      <c r="EF165" s="21"/>
      <c r="EG165" s="21"/>
      <c r="EH165" s="21"/>
      <c r="EI165" s="21"/>
      <c r="EJ165" s="21"/>
      <c r="EK165" s="21"/>
      <c r="EL165" s="168">
        <v>254130000</v>
      </c>
      <c r="EM165" s="168">
        <v>235680000</v>
      </c>
      <c r="EN165" s="21"/>
      <c r="EO165" s="21"/>
      <c r="EP165" s="168">
        <v>423774000</v>
      </c>
      <c r="EQ165" s="168">
        <v>385075000</v>
      </c>
      <c r="ER165" s="21"/>
      <c r="ES165" s="21"/>
      <c r="ET165" s="168">
        <v>681037000</v>
      </c>
      <c r="EU165" s="168">
        <v>623327000</v>
      </c>
      <c r="EV165" s="21"/>
      <c r="EW165" s="21"/>
      <c r="EX165" s="168">
        <v>10060000</v>
      </c>
      <c r="EY165" s="168">
        <v>10066000</v>
      </c>
      <c r="EZ165" s="21"/>
      <c r="FA165" s="21"/>
      <c r="FB165" s="21"/>
      <c r="FC165" s="21"/>
      <c r="FD165" s="21"/>
      <c r="FE165" s="21"/>
      <c r="FF165" s="21"/>
      <c r="FG165" s="21"/>
      <c r="FH165" s="21"/>
      <c r="FI165" s="168">
        <v>-6755</v>
      </c>
      <c r="FJ165" s="168">
        <v>3721</v>
      </c>
      <c r="FK165" s="21"/>
      <c r="FL165" s="21"/>
      <c r="FM165" s="168">
        <v>3417</v>
      </c>
      <c r="FN165" s="168">
        <v>12392</v>
      </c>
      <c r="FO165" s="168">
        <v>654</v>
      </c>
      <c r="FP165" s="168">
        <v>2083</v>
      </c>
      <c r="FQ165" s="21"/>
      <c r="FR165" s="21"/>
      <c r="FS165" s="168">
        <v>6882</v>
      </c>
      <c r="FT165" s="168">
        <v>7220</v>
      </c>
      <c r="FU165" s="168">
        <v>1482</v>
      </c>
      <c r="FV165" s="168">
        <v>488</v>
      </c>
      <c r="FW165" s="168">
        <v>1118</v>
      </c>
      <c r="FX165" s="168">
        <v>1730</v>
      </c>
      <c r="FY165" s="21"/>
      <c r="FZ165" s="21"/>
      <c r="GA165" s="21"/>
      <c r="GB165" s="21"/>
      <c r="GC165" s="168">
        <v>353</v>
      </c>
      <c r="GD165" s="168">
        <v>1210</v>
      </c>
      <c r="GE165" s="168">
        <v>165</v>
      </c>
      <c r="GF165" s="168">
        <v>15145</v>
      </c>
      <c r="GG165" s="21"/>
      <c r="GH165" s="21"/>
      <c r="GI165" s="21"/>
      <c r="GJ165" s="21"/>
      <c r="GK165" s="168">
        <v>3680</v>
      </c>
      <c r="GL165" s="168">
        <v>9062</v>
      </c>
      <c r="GM165" s="168">
        <v>31752</v>
      </c>
      <c r="GN165" s="168">
        <v>33442</v>
      </c>
      <c r="GO165" s="168">
        <v>31542</v>
      </c>
      <c r="GP165" s="168">
        <v>32956</v>
      </c>
      <c r="GQ165" s="168">
        <v>210</v>
      </c>
      <c r="GR165" s="168">
        <v>485</v>
      </c>
      <c r="GS165" s="168">
        <v>31752</v>
      </c>
      <c r="GT165" s="168">
        <v>33442</v>
      </c>
      <c r="GU165" s="168">
        <v>10953</v>
      </c>
      <c r="GV165" s="168">
        <v>21695</v>
      </c>
      <c r="GW165" s="168">
        <v>4198</v>
      </c>
      <c r="GX165" s="168">
        <v>25416</v>
      </c>
      <c r="GY165" s="168">
        <v>13680000</v>
      </c>
      <c r="GZ165" s="168">
        <v>15443000</v>
      </c>
      <c r="HA165" s="168">
        <v>826424000</v>
      </c>
      <c r="HB165" s="168">
        <v>831696000</v>
      </c>
      <c r="HC165" s="168">
        <v>138259000</v>
      </c>
      <c r="HD165" s="168">
        <v>97934000</v>
      </c>
      <c r="HE165" s="168">
        <v>18011000</v>
      </c>
      <c r="HF165" s="168">
        <v>15386000</v>
      </c>
      <c r="HG165" s="168">
        <v>39000</v>
      </c>
      <c r="HH165" s="168">
        <v>4000</v>
      </c>
      <c r="HI165" s="168">
        <v>2998000</v>
      </c>
      <c r="HJ165" s="168">
        <v>2160000</v>
      </c>
      <c r="HK165" s="21"/>
      <c r="HL165" s="21"/>
      <c r="HM165" s="21"/>
      <c r="HN165" s="168">
        <v>1000</v>
      </c>
      <c r="HO165" s="168">
        <v>50559000</v>
      </c>
      <c r="HP165" s="168">
        <v>49100000</v>
      </c>
      <c r="HQ165" s="168">
        <v>1860000</v>
      </c>
      <c r="HR165" s="168">
        <v>1308000</v>
      </c>
      <c r="HS165" s="168">
        <v>1396000</v>
      </c>
      <c r="HT165" s="168">
        <v>2471000</v>
      </c>
      <c r="HU165" s="168">
        <v>35803000</v>
      </c>
      <c r="HV165" s="168">
        <v>36281000</v>
      </c>
      <c r="HW165" s="168">
        <v>150000</v>
      </c>
      <c r="HX165" s="21"/>
      <c r="HY165" s="168">
        <v>11187000</v>
      </c>
      <c r="HZ165" s="168">
        <v>16631000</v>
      </c>
      <c r="IA165" s="168">
        <v>9503000</v>
      </c>
      <c r="IB165" s="168">
        <v>10898000</v>
      </c>
      <c r="IC165" s="21"/>
      <c r="ID165" s="21"/>
      <c r="IE165" s="168">
        <v>8360000</v>
      </c>
      <c r="IF165" s="168">
        <v>10614000</v>
      </c>
      <c r="IG165" s="168">
        <v>1116000</v>
      </c>
      <c r="IH165" s="168">
        <v>1686000</v>
      </c>
      <c r="II165" s="21"/>
      <c r="IJ165" s="21"/>
      <c r="IK165" s="168">
        <v>14327000</v>
      </c>
      <c r="IL165" s="168">
        <v>14423000</v>
      </c>
      <c r="IM165" s="168">
        <v>-506000</v>
      </c>
      <c r="IN165" s="168">
        <v>-10635000</v>
      </c>
      <c r="IO165" s="21"/>
      <c r="IP165" s="21"/>
      <c r="IQ165" s="21"/>
      <c r="IR165" s="21"/>
      <c r="IS165" s="21"/>
      <c r="IT165" s="168">
        <v>1000</v>
      </c>
      <c r="IU165" s="168">
        <v>40897000</v>
      </c>
      <c r="IV165" s="168">
        <v>31453000</v>
      </c>
      <c r="IW165" s="168">
        <v>42435000</v>
      </c>
      <c r="IX165" s="168">
        <v>31956000</v>
      </c>
      <c r="IY165" s="168">
        <v>-1538000</v>
      </c>
      <c r="IZ165" s="168">
        <v>-502000</v>
      </c>
      <c r="JA165" s="168">
        <v>17358000</v>
      </c>
      <c r="JB165" s="168">
        <v>16076000</v>
      </c>
      <c r="JC165" s="168">
        <v>3000</v>
      </c>
      <c r="JD165" s="168">
        <v>17000</v>
      </c>
      <c r="JE165" s="168">
        <v>114734000</v>
      </c>
      <c r="JF165" s="168">
        <v>111206000</v>
      </c>
      <c r="JG165" s="168">
        <v>6887000</v>
      </c>
      <c r="JH165" s="168">
        <v>8528000</v>
      </c>
      <c r="JI165" s="168">
        <v>1226320000</v>
      </c>
      <c r="JJ165" s="168">
        <v>1195728000</v>
      </c>
      <c r="JK165" s="168">
        <v>2976000</v>
      </c>
      <c r="JL165" s="168">
        <v>2995000</v>
      </c>
      <c r="JM165" s="168">
        <v>1268754000</v>
      </c>
      <c r="JN165" s="168">
        <v>1227683000</v>
      </c>
      <c r="JO165" s="168">
        <v>1438000</v>
      </c>
      <c r="JP165" s="168">
        <v>2493000</v>
      </c>
      <c r="JQ165" s="168">
        <v>-116000</v>
      </c>
      <c r="JR165" s="168">
        <v>224000</v>
      </c>
      <c r="JS165" s="168">
        <v>-235000</v>
      </c>
      <c r="JT165" s="168">
        <v>314000</v>
      </c>
      <c r="JU165" s="21"/>
      <c r="JV165" s="21"/>
      <c r="JW165" s="168">
        <v>1227690000</v>
      </c>
      <c r="JX165" s="168">
        <v>1197131000</v>
      </c>
      <c r="JY165" s="21"/>
      <c r="JZ165" s="21"/>
      <c r="KA165" s="21"/>
      <c r="KB165" s="21"/>
      <c r="KC165" s="21"/>
      <c r="KD165" s="21"/>
      <c r="KE165" s="21"/>
      <c r="KF165" s="21"/>
      <c r="KG165" s="21"/>
      <c r="KH165" s="21"/>
      <c r="KI165" s="21"/>
      <c r="KJ165" s="21"/>
      <c r="KK165" s="21"/>
      <c r="KL165" s="21"/>
      <c r="KM165" s="168">
        <v>310000</v>
      </c>
      <c r="KN165" s="168">
        <v>310000</v>
      </c>
      <c r="KO165" s="21"/>
      <c r="KP165" s="21"/>
      <c r="KQ165" s="168">
        <v>18972000</v>
      </c>
      <c r="KR165" s="168">
        <v>15537000</v>
      </c>
      <c r="KS165" s="21"/>
      <c r="KT165" s="21"/>
      <c r="KU165" s="21"/>
      <c r="KV165" s="21"/>
      <c r="KW165" s="21"/>
      <c r="KX165" s="21"/>
      <c r="KY165" s="168">
        <v>2224000</v>
      </c>
      <c r="KZ165" s="168">
        <v>1755000</v>
      </c>
      <c r="LA165" s="168">
        <v>116363000</v>
      </c>
      <c r="LB165" s="168">
        <v>116363000</v>
      </c>
      <c r="LC165" s="21"/>
      <c r="LD165" s="21"/>
      <c r="LE165" s="21"/>
      <c r="LF165" s="21"/>
      <c r="LG165" s="21"/>
      <c r="LH165" s="21"/>
      <c r="LI165" s="168">
        <v>51775000</v>
      </c>
      <c r="LJ165" s="168">
        <v>51632000</v>
      </c>
      <c r="LK165" s="168">
        <v>265897000</v>
      </c>
      <c r="LL165" s="168">
        <v>257307000</v>
      </c>
      <c r="LM165" s="168">
        <v>15220000</v>
      </c>
      <c r="LN165" s="168">
        <v>7396000</v>
      </c>
      <c r="LO165" s="21"/>
      <c r="LP165" s="21"/>
      <c r="LQ165" s="21"/>
      <c r="LR165" s="21"/>
      <c r="LS165" s="21"/>
      <c r="LT165" s="21"/>
      <c r="LU165" s="168">
        <v>1464000</v>
      </c>
      <c r="LV165" s="168">
        <v>1502000</v>
      </c>
      <c r="LW165" s="21"/>
      <c r="LX165" s="21"/>
      <c r="LY165" s="21"/>
      <c r="LZ165" s="21"/>
      <c r="MA165" s="168">
        <v>67562000</v>
      </c>
      <c r="MB165" s="168">
        <v>82049000</v>
      </c>
      <c r="MC165" s="168">
        <v>22749000</v>
      </c>
      <c r="MD165" s="168">
        <v>20627000</v>
      </c>
      <c r="ME165" s="21"/>
      <c r="MF165" s="21"/>
      <c r="MG165" s="21"/>
      <c r="MH165" s="21"/>
      <c r="MI165" s="168">
        <v>178211000</v>
      </c>
      <c r="MJ165" s="168">
        <v>178211000</v>
      </c>
      <c r="MK165" s="21"/>
      <c r="ML165" s="21"/>
      <c r="MM165" s="168">
        <v>21649000</v>
      </c>
      <c r="MN165" s="168">
        <v>10737000</v>
      </c>
      <c r="MO165" s="168">
        <v>29692000</v>
      </c>
      <c r="MP165" s="168">
        <v>28058000</v>
      </c>
      <c r="MQ165" s="168">
        <v>39093000</v>
      </c>
      <c r="MR165" s="168">
        <v>33975000</v>
      </c>
      <c r="MS165" s="21"/>
      <c r="MT165" s="21"/>
      <c r="MU165" s="168">
        <v>-62414000</v>
      </c>
      <c r="MV165" s="168">
        <v>-61166000</v>
      </c>
      <c r="MW165" s="168">
        <v>1373000</v>
      </c>
      <c r="MX165" s="168">
        <v>1373000</v>
      </c>
      <c r="MY165" s="168">
        <v>299000</v>
      </c>
      <c r="MZ165" s="168">
        <v>299000</v>
      </c>
      <c r="NA165" s="21"/>
      <c r="NB165" s="21"/>
      <c r="NC165" s="168">
        <v>31752000</v>
      </c>
      <c r="ND165" s="168">
        <v>33442000</v>
      </c>
      <c r="NE165" s="21"/>
      <c r="NF165" s="21"/>
      <c r="NG165" s="168">
        <v>146061000</v>
      </c>
      <c r="NH165" s="168">
        <v>114254000</v>
      </c>
      <c r="NI165" s="21"/>
      <c r="NJ165" s="21"/>
      <c r="NK165" s="21"/>
      <c r="NL165" s="21"/>
      <c r="NM165" s="168">
        <v>466049000</v>
      </c>
      <c r="NN165" s="168">
        <v>447041000</v>
      </c>
      <c r="NO165" s="168">
        <v>681037000</v>
      </c>
      <c r="NP165" s="168">
        <v>623327000</v>
      </c>
      <c r="NQ165" s="168" t="s">
        <v>1541</v>
      </c>
      <c r="NR165" s="168" t="s">
        <v>806</v>
      </c>
      <c r="NS165" s="168" t="s">
        <v>770</v>
      </c>
      <c r="NT165" s="168" t="s">
        <v>771</v>
      </c>
      <c r="NU165" s="168">
        <v>6901</v>
      </c>
      <c r="NV165" s="168" t="s">
        <v>2104</v>
      </c>
      <c r="NW165" s="168" t="s">
        <v>28</v>
      </c>
      <c r="NX165" s="168" t="s">
        <v>25</v>
      </c>
      <c r="NY165" s="169">
        <v>42825</v>
      </c>
      <c r="NZ165" s="169">
        <v>42460</v>
      </c>
      <c r="OA165" s="169">
        <v>43059</v>
      </c>
      <c r="OB165" s="168" t="s">
        <v>1542</v>
      </c>
      <c r="OC165" s="168">
        <v>12</v>
      </c>
      <c r="OD165" s="168" t="s">
        <v>2105</v>
      </c>
      <c r="OE165" s="168" t="s">
        <v>1543</v>
      </c>
      <c r="OF165" s="168" t="s">
        <v>2620</v>
      </c>
      <c r="OG165" s="168" t="s">
        <v>2076</v>
      </c>
      <c r="OH165" s="168" t="s">
        <v>819</v>
      </c>
      <c r="OI165" s="168" t="s">
        <v>766</v>
      </c>
      <c r="OJ165" s="168" t="s">
        <v>3240</v>
      </c>
      <c r="OK165" s="168" t="s">
        <v>805</v>
      </c>
    </row>
    <row r="166" spans="1:401" x14ac:dyDescent="0.2">
      <c r="A166" s="170" t="str">
        <f>Liste[[#This Row],[Siren]]</f>
        <v>753011188</v>
      </c>
      <c r="B166" s="198" t="str">
        <f>Liste[[#This Row],[Dénomination]]&amp;" - comptes "&amp;YEAR(Liste[[#This Row],[Date de cloture de l''exercice]])</f>
        <v>Varroc Lighting Systems, s.r.o. - comptes 2017</v>
      </c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  <c r="FP166" s="21"/>
      <c r="FQ166" s="21"/>
      <c r="FR166" s="21"/>
      <c r="FS166" s="21"/>
      <c r="FT166" s="21"/>
      <c r="FU166" s="21"/>
      <c r="FV166" s="21"/>
      <c r="FW166" s="21"/>
      <c r="FX166" s="21"/>
      <c r="FY166" s="21"/>
      <c r="FZ166" s="21"/>
      <c r="GA166" s="21"/>
      <c r="GB166" s="21"/>
      <c r="GC166" s="21"/>
      <c r="GD166" s="21"/>
      <c r="GE166" s="21"/>
      <c r="GF166" s="21"/>
      <c r="GG166" s="21"/>
      <c r="GH166" s="21"/>
      <c r="GI166" s="21"/>
      <c r="GJ166" s="21"/>
      <c r="GK166" s="21"/>
      <c r="GL166" s="21"/>
      <c r="GM166" s="21"/>
      <c r="GN166" s="21"/>
      <c r="GO166" s="21"/>
      <c r="GP166" s="21"/>
      <c r="GQ166" s="21"/>
      <c r="GR166" s="21"/>
      <c r="GS166" s="21"/>
      <c r="GT166" s="21"/>
      <c r="GU166" s="21"/>
      <c r="GV166" s="21"/>
      <c r="GW166" s="21"/>
      <c r="GX166" s="21"/>
      <c r="GY166" s="21"/>
      <c r="GZ166" s="21"/>
      <c r="HA166" s="21"/>
      <c r="HB166" s="21"/>
      <c r="HC166" s="21"/>
      <c r="HD166" s="21"/>
      <c r="HE166" s="21"/>
      <c r="HF166" s="21"/>
      <c r="HG166" s="21"/>
      <c r="HH166" s="21"/>
      <c r="HI166" s="21"/>
      <c r="HJ166" s="21"/>
      <c r="HK166" s="21"/>
      <c r="HL166" s="21"/>
      <c r="HM166" s="21"/>
      <c r="HN166" s="21"/>
      <c r="HO166" s="21"/>
      <c r="HP166" s="21"/>
      <c r="HQ166" s="21"/>
      <c r="HR166" s="21"/>
      <c r="HS166" s="21"/>
      <c r="HT166" s="21"/>
      <c r="HU166" s="21"/>
      <c r="HV166" s="21"/>
      <c r="HW166" s="21"/>
      <c r="HX166" s="21"/>
      <c r="HY166" s="21"/>
      <c r="HZ166" s="21"/>
      <c r="IA166" s="21"/>
      <c r="IB166" s="21"/>
      <c r="IC166" s="21"/>
      <c r="ID166" s="21"/>
      <c r="IE166" s="21"/>
      <c r="IF166" s="21"/>
      <c r="IG166" s="21"/>
      <c r="IH166" s="21"/>
      <c r="II166" s="21"/>
      <c r="IJ166" s="21"/>
      <c r="IK166" s="21"/>
      <c r="IL166" s="21"/>
      <c r="IM166" s="21"/>
      <c r="IN166" s="21"/>
      <c r="IO166" s="21"/>
      <c r="IP166" s="21"/>
      <c r="IQ166" s="21"/>
      <c r="IR166" s="21"/>
      <c r="IS166" s="21"/>
      <c r="IT166" s="21"/>
      <c r="IU166" s="21"/>
      <c r="IV166" s="21"/>
      <c r="IW166" s="21"/>
      <c r="IX166" s="21"/>
      <c r="IY166" s="21"/>
      <c r="IZ166" s="21"/>
      <c r="JA166" s="21"/>
      <c r="JB166" s="21"/>
      <c r="JC166" s="21"/>
      <c r="JD166" s="21"/>
      <c r="JE166" s="21"/>
      <c r="JF166" s="21"/>
      <c r="JG166" s="21"/>
      <c r="JH166" s="21"/>
      <c r="JI166" s="21"/>
      <c r="JJ166" s="21"/>
      <c r="JK166" s="21"/>
      <c r="JL166" s="21"/>
      <c r="JM166" s="21"/>
      <c r="JN166" s="21"/>
      <c r="JO166" s="21"/>
      <c r="JP166" s="21"/>
      <c r="JQ166" s="21"/>
      <c r="JR166" s="21"/>
      <c r="JS166" s="21"/>
      <c r="JT166" s="21"/>
      <c r="JU166" s="21"/>
      <c r="JV166" s="21"/>
      <c r="JW166" s="21"/>
      <c r="JX166" s="21"/>
      <c r="JY166" s="21"/>
      <c r="JZ166" s="21"/>
      <c r="KA166" s="21"/>
      <c r="KB166" s="21"/>
      <c r="KC166" s="21"/>
      <c r="KD166" s="21"/>
      <c r="KE166" s="21"/>
      <c r="KF166" s="21"/>
      <c r="KG166" s="21"/>
      <c r="KH166" s="21"/>
      <c r="KI166" s="21"/>
      <c r="KJ166" s="21"/>
      <c r="KK166" s="21"/>
      <c r="KL166" s="21"/>
      <c r="KM166" s="21"/>
      <c r="KN166" s="21"/>
      <c r="KO166" s="21"/>
      <c r="KP166" s="21"/>
      <c r="KQ166" s="21"/>
      <c r="KR166" s="21"/>
      <c r="KS166" s="21"/>
      <c r="KT166" s="21"/>
      <c r="KU166" s="21"/>
      <c r="KV166" s="21"/>
      <c r="KW166" s="21"/>
      <c r="KX166" s="21"/>
      <c r="KY166" s="21"/>
      <c r="KZ166" s="21"/>
      <c r="LA166" s="21"/>
      <c r="LB166" s="21"/>
      <c r="LC166" s="21"/>
      <c r="LD166" s="21"/>
      <c r="LE166" s="21"/>
      <c r="LF166" s="21"/>
      <c r="LG166" s="21"/>
      <c r="LH166" s="21"/>
      <c r="LI166" s="21"/>
      <c r="LJ166" s="21"/>
      <c r="LK166" s="21"/>
      <c r="LL166" s="21"/>
      <c r="LM166" s="21"/>
      <c r="LN166" s="21"/>
      <c r="LO166" s="21"/>
      <c r="LP166" s="21"/>
      <c r="LQ166" s="21"/>
      <c r="LR166" s="21"/>
      <c r="LS166" s="21"/>
      <c r="LT166" s="21"/>
      <c r="LU166" s="21"/>
      <c r="LV166" s="21"/>
      <c r="LW166" s="21"/>
      <c r="LX166" s="21"/>
      <c r="LY166" s="21"/>
      <c r="LZ166" s="21"/>
      <c r="MA166" s="21"/>
      <c r="MB166" s="21"/>
      <c r="MC166" s="21"/>
      <c r="MD166" s="21"/>
      <c r="ME166" s="21"/>
      <c r="MF166" s="21"/>
      <c r="MG166" s="21"/>
      <c r="MH166" s="21"/>
      <c r="MI166" s="21"/>
      <c r="MJ166" s="21"/>
      <c r="MK166" s="21"/>
      <c r="ML166" s="21"/>
      <c r="MM166" s="21"/>
      <c r="MN166" s="21"/>
      <c r="MO166" s="21"/>
      <c r="MP166" s="21"/>
      <c r="MQ166" s="21"/>
      <c r="MR166" s="21"/>
      <c r="MS166" s="21"/>
      <c r="MT166" s="21"/>
      <c r="MU166" s="21"/>
      <c r="MV166" s="21"/>
      <c r="MW166" s="21"/>
      <c r="MX166" s="21"/>
      <c r="MY166" s="21"/>
      <c r="MZ166" s="21"/>
      <c r="NA166" s="21"/>
      <c r="NB166" s="21"/>
      <c r="NC166" s="21"/>
      <c r="ND166" s="21"/>
      <c r="NE166" s="21"/>
      <c r="NF166" s="21"/>
      <c r="NG166" s="21"/>
      <c r="NH166" s="21"/>
      <c r="NI166" s="21"/>
      <c r="NJ166" s="21"/>
      <c r="NK166" s="21"/>
      <c r="NL166" s="21"/>
      <c r="NM166" s="21"/>
      <c r="NN166" s="21"/>
      <c r="NO166" s="21"/>
      <c r="NP166" s="21"/>
      <c r="NQ166" s="168" t="s">
        <v>3310</v>
      </c>
      <c r="NR166" s="168" t="s">
        <v>926</v>
      </c>
      <c r="NS166" s="168" t="s">
        <v>770</v>
      </c>
      <c r="NT166" s="168" t="s">
        <v>771</v>
      </c>
      <c r="NU166" s="168">
        <v>7803</v>
      </c>
      <c r="NV166" s="168" t="s">
        <v>2175</v>
      </c>
      <c r="NW166" s="168" t="s">
        <v>28</v>
      </c>
      <c r="NX166" s="168" t="s">
        <v>25</v>
      </c>
      <c r="NY166" s="169">
        <v>42825</v>
      </c>
      <c r="NZ166" s="169">
        <v>42460</v>
      </c>
      <c r="OA166" s="169">
        <v>43095</v>
      </c>
      <c r="OB166" s="168" t="s">
        <v>3311</v>
      </c>
      <c r="OC166" s="168">
        <v>12</v>
      </c>
      <c r="OD166" s="168" t="s">
        <v>2105</v>
      </c>
      <c r="OE166" s="168" t="s">
        <v>2489</v>
      </c>
      <c r="OF166" s="168" t="s">
        <v>3312</v>
      </c>
      <c r="OG166" s="168" t="s">
        <v>3313</v>
      </c>
      <c r="OH166" s="168" t="s">
        <v>795</v>
      </c>
      <c r="OI166" s="168" t="s">
        <v>825</v>
      </c>
      <c r="OJ166" s="168" t="s">
        <v>3249</v>
      </c>
      <c r="OK166" s="168" t="s">
        <v>925</v>
      </c>
    </row>
    <row r="167" spans="1:401" x14ac:dyDescent="0.2">
      <c r="A167" s="170" t="str">
        <f>Liste[[#This Row],[Siren]]</f>
        <v>950024497</v>
      </c>
      <c r="B167" s="198" t="str">
        <f>Liste[[#This Row],[Dénomination]]&amp;" - comptes "&amp;YEAR(Liste[[#This Row],[Date de cloture de l''exercice]])</f>
        <v>SOCIETE DE PARTICIPATION DE RESTRUCTURATION ET DE GESTION SO - comptes 2017</v>
      </c>
      <c r="C167" s="21"/>
      <c r="D167" s="21"/>
      <c r="E167" s="21"/>
      <c r="F167" s="168">
        <v>6577000</v>
      </c>
      <c r="G167" s="168">
        <v>6616000</v>
      </c>
      <c r="H167" s="168">
        <v>-3</v>
      </c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168">
        <v>37228000</v>
      </c>
      <c r="BE167" s="168">
        <v>33704000</v>
      </c>
      <c r="BF167" s="168">
        <v>-3</v>
      </c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168">
        <v>10634000</v>
      </c>
      <c r="EI167" s="168">
        <v>10286000</v>
      </c>
      <c r="EJ167" s="168">
        <v>-5</v>
      </c>
      <c r="EK167" s="21"/>
      <c r="EL167" s="168">
        <v>86504000</v>
      </c>
      <c r="EM167" s="168">
        <v>88400000</v>
      </c>
      <c r="EN167" s="168">
        <v>-3</v>
      </c>
      <c r="EO167" s="21"/>
      <c r="EP167" s="168">
        <v>97649000</v>
      </c>
      <c r="EQ167" s="168">
        <v>100312000</v>
      </c>
      <c r="ER167" s="168">
        <v>-3</v>
      </c>
      <c r="ES167" s="21"/>
      <c r="ET167" s="168">
        <v>154153000</v>
      </c>
      <c r="EU167" s="168">
        <v>188712000</v>
      </c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  <c r="FP167" s="21"/>
      <c r="FQ167" s="21"/>
      <c r="FR167" s="21"/>
      <c r="FS167" s="21"/>
      <c r="FT167" s="21"/>
      <c r="FU167" s="21"/>
      <c r="FV167" s="21"/>
      <c r="FW167" s="168">
        <v>-376000</v>
      </c>
      <c r="FX167" s="168">
        <v>-830000</v>
      </c>
      <c r="FY167" s="168">
        <v>239000</v>
      </c>
      <c r="FZ167" s="168">
        <v>126000</v>
      </c>
      <c r="GA167" s="21"/>
      <c r="GB167" s="21"/>
      <c r="GC167" s="21"/>
      <c r="GD167" s="21"/>
      <c r="GE167" s="21"/>
      <c r="GF167" s="21"/>
      <c r="GG167" s="21"/>
      <c r="GH167" s="21"/>
      <c r="GI167" s="21"/>
      <c r="GJ167" s="21"/>
      <c r="GK167" s="21"/>
      <c r="GL167" s="21"/>
      <c r="GM167" s="168">
        <v>520000</v>
      </c>
      <c r="GN167" s="168">
        <v>484000</v>
      </c>
      <c r="GO167" s="21"/>
      <c r="GP167" s="21"/>
      <c r="GQ167" s="21"/>
      <c r="GR167" s="21"/>
      <c r="GS167" s="168">
        <v>281000</v>
      </c>
      <c r="GT167" s="168">
        <v>358000</v>
      </c>
      <c r="GU167" s="21"/>
      <c r="GV167" s="21"/>
      <c r="GW167" s="21"/>
      <c r="GX167" s="21"/>
      <c r="GY167" s="21"/>
      <c r="GZ167" s="21"/>
      <c r="HA167" s="21"/>
      <c r="HB167" s="21"/>
      <c r="HC167" s="168">
        <v>738000</v>
      </c>
      <c r="HD167" s="168">
        <v>800000</v>
      </c>
      <c r="HE167" s="21"/>
      <c r="HF167" s="21"/>
      <c r="HG167" s="21"/>
      <c r="HH167" s="21"/>
      <c r="HI167" s="21"/>
      <c r="HJ167" s="21"/>
      <c r="HK167" s="21"/>
      <c r="HL167" s="21"/>
      <c r="HM167" s="21"/>
      <c r="HN167" s="21"/>
      <c r="HO167" s="21"/>
      <c r="HP167" s="21"/>
      <c r="HQ167" s="21"/>
      <c r="HR167" s="21"/>
      <c r="HS167" s="21"/>
      <c r="HT167" s="21"/>
      <c r="HU167" s="168">
        <v>7890000</v>
      </c>
      <c r="HV167" s="168">
        <v>8535000</v>
      </c>
      <c r="HW167" s="168">
        <v>-297000</v>
      </c>
      <c r="HX167" s="168">
        <v>259000</v>
      </c>
      <c r="HY167" s="21"/>
      <c r="HZ167" s="21"/>
      <c r="IA167" s="21"/>
      <c r="IB167" s="21"/>
      <c r="IC167" s="21"/>
      <c r="ID167" s="21"/>
      <c r="IE167" s="168">
        <v>3403000</v>
      </c>
      <c r="IF167" s="168">
        <v>4046000</v>
      </c>
      <c r="IG167" s="21"/>
      <c r="IH167" s="21"/>
      <c r="II167" s="21"/>
      <c r="IJ167" s="21"/>
      <c r="IK167" s="21"/>
      <c r="IL167" s="21"/>
      <c r="IM167" s="168">
        <v>-1004000</v>
      </c>
      <c r="IN167" s="168">
        <v>615000</v>
      </c>
      <c r="IO167" s="21"/>
      <c r="IP167" s="21"/>
      <c r="IQ167" s="21"/>
      <c r="IR167" s="21"/>
      <c r="IS167" s="21"/>
      <c r="IT167" s="21"/>
      <c r="IU167" s="21"/>
      <c r="IV167" s="21"/>
      <c r="IW167" s="168">
        <v>2266000</v>
      </c>
      <c r="IX167" s="168">
        <v>2948000</v>
      </c>
      <c r="IY167" s="21"/>
      <c r="IZ167" s="21"/>
      <c r="JA167" s="21"/>
      <c r="JB167" s="21"/>
      <c r="JC167" s="21"/>
      <c r="JD167" s="21"/>
      <c r="JE167" s="168">
        <v>62294000</v>
      </c>
      <c r="JF167" s="168">
        <v>62239000</v>
      </c>
      <c r="JG167" s="21"/>
      <c r="JH167" s="21"/>
      <c r="JI167" s="168">
        <v>-203050000</v>
      </c>
      <c r="JJ167" s="168">
        <v>191377000</v>
      </c>
      <c r="JK167" s="21"/>
      <c r="JL167" s="21"/>
      <c r="JM167" s="168">
        <v>205187000</v>
      </c>
      <c r="JN167" s="168">
        <v>194386000</v>
      </c>
      <c r="JO167" s="21"/>
      <c r="JP167" s="21"/>
      <c r="JQ167" s="21"/>
      <c r="JR167" s="21"/>
      <c r="JS167" s="21"/>
      <c r="JT167" s="21"/>
      <c r="JU167" s="21"/>
      <c r="JV167" s="21"/>
      <c r="JW167" s="168">
        <v>206191000</v>
      </c>
      <c r="JX167" s="168">
        <v>193771000</v>
      </c>
      <c r="JY167" s="21"/>
      <c r="JZ167" s="21"/>
      <c r="KA167" s="21"/>
      <c r="KB167" s="21"/>
      <c r="KC167" s="21"/>
      <c r="KD167" s="21"/>
      <c r="KE167" s="21"/>
      <c r="KF167" s="21"/>
      <c r="KG167" s="21"/>
      <c r="KH167" s="21"/>
      <c r="KI167" s="21"/>
      <c r="KJ167" s="21"/>
      <c r="KK167" s="21"/>
      <c r="KL167" s="21"/>
      <c r="KM167" s="21"/>
      <c r="KN167" s="21"/>
      <c r="KO167" s="21"/>
      <c r="KP167" s="21"/>
      <c r="KQ167" s="168">
        <v>18790000</v>
      </c>
      <c r="KR167" s="168">
        <v>18812000</v>
      </c>
      <c r="KS167" s="21"/>
      <c r="KT167" s="21"/>
      <c r="KU167" s="21"/>
      <c r="KV167" s="21"/>
      <c r="KW167" s="21"/>
      <c r="KX167" s="21"/>
      <c r="KY167" s="21"/>
      <c r="KZ167" s="21"/>
      <c r="LA167" s="168">
        <v>1070000</v>
      </c>
      <c r="LB167" s="168">
        <v>1070000</v>
      </c>
      <c r="LC167" s="21"/>
      <c r="LD167" s="21"/>
      <c r="LE167" s="21"/>
      <c r="LF167" s="21"/>
      <c r="LG167" s="21"/>
      <c r="LH167" s="21"/>
      <c r="LI167" s="21"/>
      <c r="LJ167" s="21"/>
      <c r="LK167" s="168">
        <v>17879000</v>
      </c>
      <c r="LL167" s="168">
        <v>13291000</v>
      </c>
      <c r="LM167" s="21"/>
      <c r="LN167" s="21"/>
      <c r="LO167" s="21"/>
      <c r="LP167" s="21"/>
      <c r="LQ167" s="21"/>
      <c r="LR167" s="21"/>
      <c r="LS167" s="21"/>
      <c r="LT167" s="21"/>
      <c r="LU167" s="21"/>
      <c r="LV167" s="21"/>
      <c r="LW167" s="21"/>
      <c r="LX167" s="21"/>
      <c r="LY167" s="21"/>
      <c r="LZ167" s="21"/>
      <c r="MA167" s="21"/>
      <c r="MB167" s="21"/>
      <c r="MC167" s="21"/>
      <c r="MD167" s="21"/>
      <c r="ME167" s="21"/>
      <c r="MF167" s="21"/>
      <c r="MG167" s="21"/>
      <c r="MH167" s="21"/>
      <c r="MI167" s="21"/>
      <c r="MJ167" s="21"/>
      <c r="MK167" s="21"/>
      <c r="ML167" s="21"/>
      <c r="MM167" s="21"/>
      <c r="MN167" s="21"/>
      <c r="MO167" s="21"/>
      <c r="MP167" s="21"/>
      <c r="MQ167" s="21"/>
      <c r="MR167" s="21"/>
      <c r="MS167" s="21"/>
      <c r="MT167" s="21"/>
      <c r="MU167" s="21"/>
      <c r="MV167" s="21"/>
      <c r="MW167" s="21"/>
      <c r="MX167" s="21"/>
      <c r="MY167" s="21"/>
      <c r="MZ167" s="21"/>
      <c r="NA167" s="21"/>
      <c r="NB167" s="21"/>
      <c r="NC167" s="168">
        <v>281000</v>
      </c>
      <c r="ND167" s="168">
        <v>358000</v>
      </c>
      <c r="NE167" s="21"/>
      <c r="NF167" s="21"/>
      <c r="NG167" s="168">
        <v>37390000</v>
      </c>
      <c r="NH167" s="168">
        <v>37211000</v>
      </c>
      <c r="NI167" s="21"/>
      <c r="NJ167" s="21"/>
      <c r="NK167" s="168">
        <v>42745000</v>
      </c>
      <c r="NL167" s="168">
        <v>42881000</v>
      </c>
      <c r="NM167" s="168">
        <v>104018000</v>
      </c>
      <c r="NN167" s="168">
        <v>108620000</v>
      </c>
      <c r="NO167" s="168">
        <v>184153000</v>
      </c>
      <c r="NP167" s="168">
        <v>188712000</v>
      </c>
      <c r="NQ167" s="168" t="s">
        <v>836</v>
      </c>
      <c r="NR167" s="168" t="s">
        <v>802</v>
      </c>
      <c r="NS167" s="168" t="s">
        <v>770</v>
      </c>
      <c r="NT167" s="168" t="s">
        <v>771</v>
      </c>
      <c r="NU167" s="168">
        <v>7501</v>
      </c>
      <c r="NV167" s="168" t="s">
        <v>2104</v>
      </c>
      <c r="NW167" s="168" t="s">
        <v>28</v>
      </c>
      <c r="NX167" s="168" t="s">
        <v>25</v>
      </c>
      <c r="NY167" s="169">
        <v>42825</v>
      </c>
      <c r="NZ167" s="169">
        <v>42460</v>
      </c>
      <c r="OA167" s="169">
        <v>43104</v>
      </c>
      <c r="OB167" s="168" t="s">
        <v>3320</v>
      </c>
      <c r="OC167" s="168">
        <v>12</v>
      </c>
      <c r="OD167" s="168" t="s">
        <v>2105</v>
      </c>
      <c r="OE167" s="168" t="s">
        <v>2443</v>
      </c>
      <c r="OF167" s="168" t="s">
        <v>3321</v>
      </c>
      <c r="OG167" s="168" t="s">
        <v>3322</v>
      </c>
      <c r="OH167" s="168" t="s">
        <v>765</v>
      </c>
      <c r="OI167" s="168" t="s">
        <v>766</v>
      </c>
      <c r="OJ167" s="168" t="s">
        <v>3240</v>
      </c>
      <c r="OK167" s="168" t="s">
        <v>801</v>
      </c>
    </row>
    <row r="168" spans="1:401" x14ac:dyDescent="0.2">
      <c r="A168" s="170" t="str">
        <f>Liste[[#This Row],[Siren]]</f>
        <v>532501517</v>
      </c>
      <c r="B168" s="198" t="str">
        <f>Liste[[#This Row],[Dénomination]]&amp;" - comptes "&amp;YEAR(Liste[[#This Row],[Date de cloture de l''exercice]])</f>
        <v>HD HOLDING - comptes 2017</v>
      </c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168">
        <v>8142</v>
      </c>
      <c r="BD168" s="168">
        <v>45065</v>
      </c>
      <c r="BE168" s="168">
        <v>70593</v>
      </c>
      <c r="BF168" s="168">
        <v>53207</v>
      </c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168">
        <v>831096</v>
      </c>
      <c r="BY168" s="168">
        <v>1049061</v>
      </c>
      <c r="BZ168" s="168">
        <v>831096</v>
      </c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168">
        <v>14293061</v>
      </c>
      <c r="EL168" s="168">
        <v>22306797</v>
      </c>
      <c r="EM168" s="168">
        <v>21221301</v>
      </c>
      <c r="EN168" s="168">
        <v>36599858</v>
      </c>
      <c r="EO168" s="168">
        <v>207051</v>
      </c>
      <c r="EP168" s="168">
        <v>10192175</v>
      </c>
      <c r="EQ168" s="168">
        <v>9621335</v>
      </c>
      <c r="ER168" s="168">
        <v>10399226</v>
      </c>
      <c r="ES168" s="168">
        <v>14500112</v>
      </c>
      <c r="ET168" s="168">
        <v>32498972</v>
      </c>
      <c r="EU168" s="168">
        <v>30842636</v>
      </c>
      <c r="EV168" s="168">
        <v>46999084</v>
      </c>
      <c r="EW168" s="21"/>
      <c r="EX168" s="21"/>
      <c r="EY168" s="21"/>
      <c r="EZ168" s="21"/>
      <c r="FA168" s="21"/>
      <c r="FB168" s="21"/>
      <c r="FC168" s="21"/>
      <c r="FD168" s="21"/>
      <c r="FE168" s="21"/>
      <c r="FF168" s="168">
        <v>557000</v>
      </c>
      <c r="FG168" s="168">
        <v>557000</v>
      </c>
      <c r="FH168" s="168">
        <v>557000</v>
      </c>
      <c r="FI168" s="21"/>
      <c r="FJ168" s="21"/>
      <c r="FK168" s="21"/>
      <c r="FL168" s="21"/>
      <c r="FM168" s="21"/>
      <c r="FN168" s="21"/>
      <c r="FO168" s="21"/>
      <c r="FP168" s="21"/>
      <c r="FQ168" s="168">
        <v>22888</v>
      </c>
      <c r="FR168" s="168">
        <v>22888</v>
      </c>
      <c r="FS168" s="21"/>
      <c r="FT168" s="21"/>
      <c r="FU168" s="21"/>
      <c r="FV168" s="21"/>
      <c r="FW168" s="168">
        <v>-252933</v>
      </c>
      <c r="FX168" s="168">
        <v>-284492</v>
      </c>
      <c r="FY168" s="168">
        <v>-1753</v>
      </c>
      <c r="FZ168" s="168">
        <v>-1928</v>
      </c>
      <c r="GA168" s="21"/>
      <c r="GB168" s="21"/>
      <c r="GC168" s="21"/>
      <c r="GD168" s="21"/>
      <c r="GE168" s="21"/>
      <c r="GF168" s="21"/>
      <c r="GG168" s="21"/>
      <c r="GH168" s="21"/>
      <c r="GI168" s="21"/>
      <c r="GJ168" s="21"/>
      <c r="GK168" s="21"/>
      <c r="GL168" s="21"/>
      <c r="GM168" s="21"/>
      <c r="GN168" s="21"/>
      <c r="GO168" s="21"/>
      <c r="GP168" s="21"/>
      <c r="GQ168" s="21"/>
      <c r="GR168" s="21"/>
      <c r="GS168" s="168">
        <v>905051</v>
      </c>
      <c r="GT168" s="168">
        <v>941274</v>
      </c>
      <c r="GU168" s="21"/>
      <c r="GV168" s="21"/>
      <c r="GW168" s="21"/>
      <c r="GX168" s="21"/>
      <c r="GY168" s="21"/>
      <c r="GZ168" s="21"/>
      <c r="HA168" s="21"/>
      <c r="HB168" s="21"/>
      <c r="HC168" s="21"/>
      <c r="HD168" s="21"/>
      <c r="HE168" s="168">
        <v>-4721</v>
      </c>
      <c r="HF168" s="168">
        <v>-15911</v>
      </c>
      <c r="HG168" s="21"/>
      <c r="HH168" s="21"/>
      <c r="HI168" s="168">
        <v>240772</v>
      </c>
      <c r="HJ168" s="168">
        <v>475435</v>
      </c>
      <c r="HK168" s="21"/>
      <c r="HL168" s="21"/>
      <c r="HM168" s="21"/>
      <c r="HN168" s="21"/>
      <c r="HO168" s="21"/>
      <c r="HP168" s="21"/>
      <c r="HQ168" s="21"/>
      <c r="HR168" s="21"/>
      <c r="HS168" s="21"/>
      <c r="HT168" s="21"/>
      <c r="HU168" s="21"/>
      <c r="HV168" s="21"/>
      <c r="HW168" s="21"/>
      <c r="HX168" s="21"/>
      <c r="HY168" s="21"/>
      <c r="HZ168" s="21"/>
      <c r="IA168" s="21"/>
      <c r="IB168" s="21"/>
      <c r="IC168" s="21"/>
      <c r="ID168" s="21"/>
      <c r="IE168" s="168">
        <v>-978283</v>
      </c>
      <c r="IF168" s="168">
        <v>-943267</v>
      </c>
      <c r="IG168" s="21"/>
      <c r="IH168" s="21"/>
      <c r="II168" s="21"/>
      <c r="IJ168" s="21"/>
      <c r="IK168" s="21"/>
      <c r="IL168" s="21"/>
      <c r="IM168" s="21"/>
      <c r="IN168" s="21"/>
      <c r="IO168" s="21"/>
      <c r="IP168" s="21"/>
      <c r="IQ168" s="21"/>
      <c r="IR168" s="21"/>
      <c r="IS168" s="21"/>
      <c r="IT168" s="21"/>
      <c r="IU168" s="21"/>
      <c r="IV168" s="21"/>
      <c r="IW168" s="168">
        <v>1119962</v>
      </c>
      <c r="IX168" s="168">
        <v>1662921</v>
      </c>
      <c r="IY168" s="21"/>
      <c r="IZ168" s="21"/>
      <c r="JA168" s="21"/>
      <c r="JB168" s="21"/>
      <c r="JC168" s="21"/>
      <c r="JD168" s="21"/>
      <c r="JE168" s="21"/>
      <c r="JF168" s="21"/>
      <c r="JG168" s="21"/>
      <c r="JH168" s="21"/>
      <c r="JI168" s="21"/>
      <c r="JJ168" s="21"/>
      <c r="JK168" s="21"/>
      <c r="JL168" s="21"/>
      <c r="JM168" s="21"/>
      <c r="JN168" s="21"/>
      <c r="JO168" s="21"/>
      <c r="JP168" s="21"/>
      <c r="JQ168" s="21"/>
      <c r="JR168" s="21"/>
      <c r="JS168" s="21"/>
      <c r="JT168" s="21"/>
      <c r="JU168" s="21"/>
      <c r="JV168" s="21"/>
      <c r="JW168" s="168">
        <v>60255424</v>
      </c>
      <c r="JX168" s="168">
        <v>59405335</v>
      </c>
      <c r="JY168" s="21"/>
      <c r="JZ168" s="21"/>
      <c r="KA168" s="21"/>
      <c r="KB168" s="21"/>
      <c r="KC168" s="21"/>
      <c r="KD168" s="21"/>
      <c r="KE168" s="21"/>
      <c r="KF168" s="21"/>
      <c r="KG168" s="21"/>
      <c r="KH168" s="21"/>
      <c r="KI168" s="21"/>
      <c r="KJ168" s="21"/>
      <c r="KK168" s="21"/>
      <c r="KL168" s="21"/>
      <c r="KM168" s="21"/>
      <c r="KN168" s="21"/>
      <c r="KO168" s="21"/>
      <c r="KP168" s="21"/>
      <c r="KQ168" s="21"/>
      <c r="KR168" s="21"/>
      <c r="KS168" s="21"/>
      <c r="KT168" s="21"/>
      <c r="KU168" s="21"/>
      <c r="KV168" s="21"/>
      <c r="KW168" s="21"/>
      <c r="KX168" s="21"/>
      <c r="KY168" s="21"/>
      <c r="KZ168" s="21"/>
      <c r="LA168" s="168">
        <v>5825090</v>
      </c>
      <c r="LB168" s="168">
        <v>5825090</v>
      </c>
      <c r="LC168" s="21"/>
      <c r="LD168" s="21"/>
      <c r="LE168" s="21"/>
      <c r="LF168" s="21"/>
      <c r="LG168" s="21"/>
      <c r="LH168" s="21"/>
      <c r="LI168" s="21"/>
      <c r="LJ168" s="21"/>
      <c r="LK168" s="168">
        <v>4908532</v>
      </c>
      <c r="LL168" s="168">
        <v>5291199</v>
      </c>
      <c r="LM168" s="21"/>
      <c r="LN168" s="21"/>
      <c r="LO168" s="21"/>
      <c r="LP168" s="21"/>
      <c r="LQ168" s="21"/>
      <c r="LR168" s="21"/>
      <c r="LS168" s="21"/>
      <c r="LT168" s="21"/>
      <c r="LU168" s="21"/>
      <c r="LV168" s="21"/>
      <c r="LW168" s="21"/>
      <c r="LX168" s="21"/>
      <c r="LY168" s="21"/>
      <c r="LZ168" s="21"/>
      <c r="MA168" s="21"/>
      <c r="MB168" s="21"/>
      <c r="MC168" s="168">
        <v>12990822</v>
      </c>
      <c r="MD168" s="168">
        <v>11787656</v>
      </c>
      <c r="ME168" s="21"/>
      <c r="MF168" s="21"/>
      <c r="MG168" s="21"/>
      <c r="MH168" s="21"/>
      <c r="MI168" s="21"/>
      <c r="MJ168" s="21"/>
      <c r="MK168" s="21"/>
      <c r="ML168" s="21"/>
      <c r="MM168" s="21"/>
      <c r="MN168" s="21"/>
      <c r="MO168" s="21"/>
      <c r="MP168" s="21"/>
      <c r="MQ168" s="21"/>
      <c r="MR168" s="21"/>
      <c r="MS168" s="21"/>
      <c r="MT168" s="21"/>
      <c r="MU168" s="21"/>
      <c r="MV168" s="21"/>
      <c r="MW168" s="168">
        <v>3852468</v>
      </c>
      <c r="MX168" s="168">
        <v>3301476</v>
      </c>
      <c r="MY168" s="21"/>
      <c r="MZ168" s="21"/>
      <c r="NA168" s="21"/>
      <c r="NB168" s="21"/>
      <c r="NC168" s="168">
        <v>905051</v>
      </c>
      <c r="ND168" s="168">
        <v>941274</v>
      </c>
      <c r="NE168" s="21"/>
      <c r="NF168" s="21"/>
      <c r="NG168" s="21"/>
      <c r="NH168" s="21"/>
      <c r="NI168" s="21"/>
      <c r="NJ168" s="21"/>
      <c r="NK168" s="21"/>
      <c r="NL168" s="21"/>
      <c r="NM168" s="168">
        <v>21631808</v>
      </c>
      <c r="NN168" s="168">
        <v>20351935</v>
      </c>
      <c r="NO168" s="168">
        <v>32498972</v>
      </c>
      <c r="NP168" s="168">
        <v>30842636</v>
      </c>
      <c r="NQ168" s="168" t="s">
        <v>1364</v>
      </c>
      <c r="NR168" s="168" t="s">
        <v>769</v>
      </c>
      <c r="NS168" s="168" t="s">
        <v>770</v>
      </c>
      <c r="NT168" s="168" t="s">
        <v>771</v>
      </c>
      <c r="NU168" s="168">
        <v>2801</v>
      </c>
      <c r="NV168" s="168" t="s">
        <v>2104</v>
      </c>
      <c r="NW168" s="168" t="s">
        <v>28</v>
      </c>
      <c r="NX168" s="168" t="s">
        <v>25</v>
      </c>
      <c r="NY168" s="169">
        <v>42825</v>
      </c>
      <c r="NZ168" s="169">
        <v>42460</v>
      </c>
      <c r="OA168" s="169">
        <v>43007</v>
      </c>
      <c r="OB168" s="168" t="s">
        <v>1365</v>
      </c>
      <c r="OC168" s="168">
        <v>12</v>
      </c>
      <c r="OD168" s="168" t="s">
        <v>2105</v>
      </c>
      <c r="OE168" s="168" t="s">
        <v>1366</v>
      </c>
      <c r="OF168" s="168" t="s">
        <v>2493</v>
      </c>
      <c r="OG168" s="168" t="s">
        <v>1986</v>
      </c>
      <c r="OH168" s="168" t="s">
        <v>944</v>
      </c>
      <c r="OI168" s="168" t="s">
        <v>766</v>
      </c>
      <c r="OJ168" s="168" t="s">
        <v>3240</v>
      </c>
      <c r="OK168" s="168" t="s">
        <v>767</v>
      </c>
    </row>
    <row r="169" spans="1:401" x14ac:dyDescent="0.2">
      <c r="A169" s="170" t="str">
        <f>Liste[[#This Row],[Siren]]</f>
        <v>493054977</v>
      </c>
      <c r="B169" s="198" t="str">
        <f>Liste[[#This Row],[Dénomination]]&amp;" - comptes "&amp;YEAR(Liste[[#This Row],[Date de cloture de l''exercice]])</f>
        <v>ALEXANDRE MARTEL - comptes 2017</v>
      </c>
      <c r="C169" s="21"/>
      <c r="D169" s="21"/>
      <c r="E169" s="21"/>
      <c r="F169" s="168">
        <v>1371518</v>
      </c>
      <c r="G169" s="168">
        <v>1275698</v>
      </c>
      <c r="H169" s="168">
        <v>1371518</v>
      </c>
      <c r="I169" s="168">
        <v>2197618</v>
      </c>
      <c r="J169" s="168">
        <v>1489182</v>
      </c>
      <c r="K169" s="168">
        <v>1538986</v>
      </c>
      <c r="L169" s="168">
        <v>3686800</v>
      </c>
      <c r="M169" s="21"/>
      <c r="N169" s="21"/>
      <c r="O169" s="21"/>
      <c r="P169" s="21"/>
      <c r="Q169" s="21"/>
      <c r="R169" s="21"/>
      <c r="S169" s="21"/>
      <c r="T169" s="21"/>
      <c r="U169" s="21"/>
      <c r="V169" s="168">
        <v>442</v>
      </c>
      <c r="W169" s="168">
        <v>750</v>
      </c>
      <c r="X169" s="168">
        <v>442</v>
      </c>
      <c r="Y169" s="21"/>
      <c r="Z169" s="168">
        <v>4200</v>
      </c>
      <c r="AA169" s="168">
        <v>4200</v>
      </c>
      <c r="AB169" s="168">
        <v>4200</v>
      </c>
      <c r="AC169" s="21"/>
      <c r="AD169" s="168">
        <v>28320</v>
      </c>
      <c r="AE169" s="21"/>
      <c r="AF169" s="168">
        <v>28320</v>
      </c>
      <c r="AG169" s="21"/>
      <c r="AH169" s="21"/>
      <c r="AI169" s="21"/>
      <c r="AJ169" s="21"/>
      <c r="AK169" s="21"/>
      <c r="AL169" s="168">
        <v>690</v>
      </c>
      <c r="AM169" s="21"/>
      <c r="AN169" s="168">
        <v>690</v>
      </c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168">
        <v>50396</v>
      </c>
      <c r="BA169" s="168">
        <v>46594</v>
      </c>
      <c r="BB169" s="168">
        <v>50396</v>
      </c>
      <c r="BC169" s="168">
        <v>122863</v>
      </c>
      <c r="BD169" s="168">
        <v>2743891</v>
      </c>
      <c r="BE169" s="168">
        <v>3294886</v>
      </c>
      <c r="BF169" s="168">
        <v>2866754</v>
      </c>
      <c r="BG169" s="168">
        <v>78715</v>
      </c>
      <c r="BH169" s="168">
        <v>4957</v>
      </c>
      <c r="BI169" s="168">
        <v>252</v>
      </c>
      <c r="BJ169" s="168">
        <v>83672</v>
      </c>
      <c r="BK169" s="168">
        <v>267615</v>
      </c>
      <c r="BL169" s="168">
        <v>1189499</v>
      </c>
      <c r="BM169" s="168">
        <v>1299638</v>
      </c>
      <c r="BN169" s="168">
        <v>1457114</v>
      </c>
      <c r="BO169" s="21"/>
      <c r="BP169" s="21"/>
      <c r="BQ169" s="21"/>
      <c r="BR169" s="21"/>
      <c r="BS169" s="21"/>
      <c r="BT169" s="21"/>
      <c r="BU169" s="21"/>
      <c r="BV169" s="21"/>
      <c r="BW169" s="21"/>
      <c r="BX169" s="168">
        <v>2972199</v>
      </c>
      <c r="BY169" s="168">
        <v>2039173</v>
      </c>
      <c r="BZ169" s="168">
        <v>2972199</v>
      </c>
      <c r="CA169" s="21"/>
      <c r="CB169" s="21"/>
      <c r="CC169" s="21"/>
      <c r="CD169" s="21"/>
      <c r="CE169" s="168">
        <v>155850</v>
      </c>
      <c r="CF169" s="21"/>
      <c r="CG169" s="168">
        <v>155850</v>
      </c>
      <c r="CH169" s="21"/>
      <c r="CI169" s="168">
        <v>268535</v>
      </c>
      <c r="CJ169" s="168">
        <v>385024</v>
      </c>
      <c r="CK169" s="168">
        <v>268535</v>
      </c>
      <c r="CL169" s="21"/>
      <c r="CM169" s="21"/>
      <c r="CN169" s="21"/>
      <c r="CO169" s="21"/>
      <c r="CP169" s="21"/>
      <c r="CQ169" s="21"/>
      <c r="CR169" s="168">
        <v>157440</v>
      </c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168">
        <v>54839</v>
      </c>
      <c r="DD169" s="21"/>
      <c r="DE169" s="168">
        <v>54839</v>
      </c>
      <c r="DF169" s="168">
        <v>668023</v>
      </c>
      <c r="DG169" s="168">
        <v>467022</v>
      </c>
      <c r="DH169" s="168">
        <v>518293</v>
      </c>
      <c r="DI169" s="168">
        <v>1135045</v>
      </c>
      <c r="DJ169" s="168">
        <v>899040</v>
      </c>
      <c r="DK169" s="168">
        <v>10235060</v>
      </c>
      <c r="DL169" s="168">
        <v>12540595</v>
      </c>
      <c r="DM169" s="168">
        <v>11134100</v>
      </c>
      <c r="DN169" s="21"/>
      <c r="DO169" s="21"/>
      <c r="DP169" s="21"/>
      <c r="DQ169" s="21"/>
      <c r="DR169" s="21"/>
      <c r="DS169" s="21"/>
      <c r="DT169" s="21"/>
      <c r="DU169" s="21"/>
      <c r="DV169" s="21"/>
      <c r="DW169" s="168">
        <v>13669</v>
      </c>
      <c r="DX169" s="168">
        <v>11869</v>
      </c>
      <c r="DY169" s="168">
        <v>13669</v>
      </c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168">
        <v>3211971</v>
      </c>
      <c r="EL169" s="168">
        <v>3546539</v>
      </c>
      <c r="EM169" s="168">
        <v>3679313</v>
      </c>
      <c r="EN169" s="168">
        <v>6758510</v>
      </c>
      <c r="EO169" s="168">
        <v>1021903</v>
      </c>
      <c r="EP169" s="168">
        <v>17652289</v>
      </c>
      <c r="EQ169" s="168">
        <v>19591970</v>
      </c>
      <c r="ER169" s="168">
        <v>18674192</v>
      </c>
      <c r="ES169" s="168">
        <v>4233874</v>
      </c>
      <c r="ET169" s="168">
        <v>21198828</v>
      </c>
      <c r="EU169" s="168">
        <v>23271283</v>
      </c>
      <c r="EV169" s="168">
        <v>25432702</v>
      </c>
      <c r="EW169" s="21"/>
      <c r="EX169" s="168">
        <v>138559</v>
      </c>
      <c r="EY169" s="168">
        <v>147885</v>
      </c>
      <c r="EZ169" s="168">
        <v>138559</v>
      </c>
      <c r="FA169" s="21"/>
      <c r="FB169" s="21"/>
      <c r="FC169" s="21"/>
      <c r="FD169" s="21"/>
      <c r="FE169" s="21"/>
      <c r="FF169" s="168">
        <v>10000</v>
      </c>
      <c r="FG169" s="168">
        <v>10000</v>
      </c>
      <c r="FH169" s="168">
        <v>10000</v>
      </c>
      <c r="FI169" s="168">
        <v>-113802</v>
      </c>
      <c r="FJ169" s="168">
        <v>-13191</v>
      </c>
      <c r="FK169" s="168">
        <v>1408683</v>
      </c>
      <c r="FL169" s="168">
        <v>1839865</v>
      </c>
      <c r="FM169" s="168">
        <v>176080</v>
      </c>
      <c r="FN169" s="168">
        <v>25581</v>
      </c>
      <c r="FO169" s="168">
        <v>70691</v>
      </c>
      <c r="FP169" s="168">
        <v>300909</v>
      </c>
      <c r="FQ169" s="21"/>
      <c r="FR169" s="21"/>
      <c r="FS169" s="21"/>
      <c r="FT169" s="21"/>
      <c r="FU169" s="168">
        <v>29470</v>
      </c>
      <c r="FV169" s="168">
        <v>-17327</v>
      </c>
      <c r="FW169" s="168">
        <v>560474</v>
      </c>
      <c r="FX169" s="168">
        <v>867695</v>
      </c>
      <c r="FY169" s="168">
        <v>603265</v>
      </c>
      <c r="FZ169" s="168">
        <v>820367</v>
      </c>
      <c r="GA169" s="21"/>
      <c r="GB169" s="21"/>
      <c r="GC169" s="168">
        <v>28086</v>
      </c>
      <c r="GD169" s="168">
        <v>2967</v>
      </c>
      <c r="GE169" s="168">
        <v>104883</v>
      </c>
      <c r="GF169" s="168">
        <v>310332</v>
      </c>
      <c r="GG169" s="21"/>
      <c r="GH169" s="21"/>
      <c r="GI169" s="21"/>
      <c r="GJ169" s="21"/>
      <c r="GK169" s="21"/>
      <c r="GL169" s="21"/>
      <c r="GM169" s="168">
        <v>1408683</v>
      </c>
      <c r="GN169" s="168">
        <v>1839865</v>
      </c>
      <c r="GO169" s="21"/>
      <c r="GP169" s="21"/>
      <c r="GQ169" s="21"/>
      <c r="GR169" s="21"/>
      <c r="GS169" s="168">
        <v>805418</v>
      </c>
      <c r="GT169" s="168">
        <v>1019498</v>
      </c>
      <c r="GU169" s="168">
        <v>246771</v>
      </c>
      <c r="GV169" s="168">
        <v>326490</v>
      </c>
      <c r="GW169" s="168">
        <v>132969</v>
      </c>
      <c r="GX169" s="168">
        <v>313299</v>
      </c>
      <c r="GY169" s="168">
        <v>25561300</v>
      </c>
      <c r="GZ169" s="168">
        <v>40886369</v>
      </c>
      <c r="HA169" s="168">
        <v>628847</v>
      </c>
      <c r="HB169" s="168">
        <v>713368</v>
      </c>
      <c r="HC169" s="168">
        <v>730624</v>
      </c>
      <c r="HD169" s="168">
        <v>891928</v>
      </c>
      <c r="HE169" s="168">
        <v>268560</v>
      </c>
      <c r="HF169" s="168">
        <v>22843</v>
      </c>
      <c r="HG169" s="21"/>
      <c r="HH169" s="168">
        <v>1667</v>
      </c>
      <c r="HI169" s="168">
        <v>208157</v>
      </c>
      <c r="HJ169" s="168">
        <v>15662</v>
      </c>
      <c r="HK169" s="21"/>
      <c r="HL169" s="21"/>
      <c r="HM169" s="21"/>
      <c r="HN169" s="21"/>
      <c r="HO169" s="168">
        <v>886479</v>
      </c>
      <c r="HP169" s="168">
        <v>883552</v>
      </c>
      <c r="HQ169" s="21"/>
      <c r="HR169" s="21"/>
      <c r="HS169" s="21"/>
      <c r="HT169" s="21"/>
      <c r="HU169" s="168">
        <v>534775</v>
      </c>
      <c r="HV169" s="168">
        <v>478251</v>
      </c>
      <c r="HW169" s="21"/>
      <c r="HX169" s="21"/>
      <c r="HY169" s="168">
        <v>533863</v>
      </c>
      <c r="HZ169" s="168">
        <v>718639</v>
      </c>
      <c r="IA169" s="168">
        <v>899039</v>
      </c>
      <c r="IB169" s="168">
        <v>983484</v>
      </c>
      <c r="IC169" s="21"/>
      <c r="ID169" s="21"/>
      <c r="IE169" s="168">
        <v>344307</v>
      </c>
      <c r="IF169" s="168">
        <v>292652</v>
      </c>
      <c r="IG169" s="168">
        <v>56972</v>
      </c>
      <c r="IH169" s="168">
        <v>150598</v>
      </c>
      <c r="II169" s="21"/>
      <c r="IJ169" s="21"/>
      <c r="IK169" s="21"/>
      <c r="IL169" s="21"/>
      <c r="IM169" s="168">
        <v>-116489</v>
      </c>
      <c r="IN169" s="168">
        <v>-36053</v>
      </c>
      <c r="IO169" s="21"/>
      <c r="IP169" s="21"/>
      <c r="IQ169" s="168">
        <v>56</v>
      </c>
      <c r="IR169" s="168">
        <v>475</v>
      </c>
      <c r="IS169" s="21"/>
      <c r="IT169" s="21"/>
      <c r="IU169" s="168">
        <v>2112429</v>
      </c>
      <c r="IV169" s="168">
        <v>2703424</v>
      </c>
      <c r="IW169" s="168">
        <v>2107945</v>
      </c>
      <c r="IX169" s="168">
        <v>2720142</v>
      </c>
      <c r="IY169" s="168">
        <v>4484</v>
      </c>
      <c r="IZ169" s="168">
        <v>-16718</v>
      </c>
      <c r="JA169" s="168">
        <v>2032591</v>
      </c>
      <c r="JB169" s="168">
        <v>1795752</v>
      </c>
      <c r="JC169" s="21"/>
      <c r="JD169" s="21"/>
      <c r="JE169" s="168">
        <v>2614348</v>
      </c>
      <c r="JF169" s="168">
        <v>2480767</v>
      </c>
      <c r="JG169" s="21"/>
      <c r="JH169" s="21"/>
      <c r="JI169" s="168">
        <v>35392124</v>
      </c>
      <c r="JJ169" s="168">
        <v>45082422</v>
      </c>
      <c r="JK169" s="168">
        <v>56972</v>
      </c>
      <c r="JL169" s="168">
        <v>150598</v>
      </c>
      <c r="JM169" s="168">
        <v>37500069</v>
      </c>
      <c r="JN169" s="168">
        <v>47802564</v>
      </c>
      <c r="JO169" s="168">
        <v>61456</v>
      </c>
      <c r="JP169" s="168">
        <v>133880</v>
      </c>
      <c r="JQ169" s="168">
        <v>2389982</v>
      </c>
      <c r="JR169" s="168">
        <v>-3269431</v>
      </c>
      <c r="JS169" s="21"/>
      <c r="JT169" s="21"/>
      <c r="JU169" s="21"/>
      <c r="JV169" s="21"/>
      <c r="JW169" s="168">
        <v>35375810</v>
      </c>
      <c r="JX169" s="168">
        <v>46027203</v>
      </c>
      <c r="JY169" s="21"/>
      <c r="JZ169" s="21"/>
      <c r="KA169" s="21"/>
      <c r="KB169" s="21"/>
      <c r="KC169" s="21"/>
      <c r="KD169" s="21"/>
      <c r="KE169" s="21"/>
      <c r="KF169" s="21"/>
      <c r="KG169" s="21"/>
      <c r="KH169" s="21"/>
      <c r="KI169" s="168">
        <v>33237623</v>
      </c>
      <c r="KJ169" s="168">
        <v>43888765</v>
      </c>
      <c r="KK169" s="21"/>
      <c r="KL169" s="21"/>
      <c r="KM169" s="21"/>
      <c r="KN169" s="21"/>
      <c r="KO169" s="21"/>
      <c r="KP169" s="21"/>
      <c r="KQ169" s="168">
        <v>2295035</v>
      </c>
      <c r="KR169" s="168">
        <v>2042917</v>
      </c>
      <c r="KS169" s="21"/>
      <c r="KT169" s="21"/>
      <c r="KU169" s="21"/>
      <c r="KV169" s="21"/>
      <c r="KW169" s="21"/>
      <c r="KX169" s="21"/>
      <c r="KY169" s="21"/>
      <c r="KZ169" s="21"/>
      <c r="LA169" s="168">
        <v>125000</v>
      </c>
      <c r="LB169" s="168">
        <v>125000</v>
      </c>
      <c r="LC169" s="21"/>
      <c r="LD169" s="21"/>
      <c r="LE169" s="21"/>
      <c r="LF169" s="21"/>
      <c r="LG169" s="21"/>
      <c r="LH169" s="21"/>
      <c r="LI169" s="168">
        <v>629920</v>
      </c>
      <c r="LJ169" s="168">
        <v>650195</v>
      </c>
      <c r="LK169" s="168">
        <v>4451727</v>
      </c>
      <c r="LL169" s="168">
        <v>7556728</v>
      </c>
      <c r="LM169" s="21"/>
      <c r="LN169" s="168">
        <v>55936</v>
      </c>
      <c r="LO169" s="21"/>
      <c r="LP169" s="21"/>
      <c r="LQ169" s="21"/>
      <c r="LR169" s="21"/>
      <c r="LS169" s="21"/>
      <c r="LT169" s="21"/>
      <c r="LU169" s="21"/>
      <c r="LV169" s="21"/>
      <c r="LW169" s="21"/>
      <c r="LX169" s="21"/>
      <c r="LY169" s="21"/>
      <c r="LZ169" s="21"/>
      <c r="MA169" s="168">
        <v>2614259</v>
      </c>
      <c r="MB169" s="168">
        <v>2674290</v>
      </c>
      <c r="MC169" s="168">
        <v>8671</v>
      </c>
      <c r="MD169" s="168">
        <v>8671</v>
      </c>
      <c r="ME169" s="21"/>
      <c r="MF169" s="21"/>
      <c r="MG169" s="21"/>
      <c r="MH169" s="21"/>
      <c r="MI169" s="21"/>
      <c r="MJ169" s="21"/>
      <c r="MK169" s="21"/>
      <c r="ML169" s="21"/>
      <c r="MM169" s="21"/>
      <c r="MN169" s="21"/>
      <c r="MO169" s="168">
        <v>256668</v>
      </c>
      <c r="MP169" s="168">
        <v>341251</v>
      </c>
      <c r="MQ169" s="168">
        <v>513854</v>
      </c>
      <c r="MR169" s="168">
        <v>687755</v>
      </c>
      <c r="MS169" s="21"/>
      <c r="MT169" s="21"/>
      <c r="MU169" s="21"/>
      <c r="MV169" s="21"/>
      <c r="MW169" s="21"/>
      <c r="MX169" s="21"/>
      <c r="MY169" s="21"/>
      <c r="MZ169" s="21"/>
      <c r="NA169" s="21"/>
      <c r="NB169" s="21"/>
      <c r="NC169" s="168">
        <v>805418</v>
      </c>
      <c r="ND169" s="168">
        <v>1019498</v>
      </c>
      <c r="NE169" s="21"/>
      <c r="NF169" s="21"/>
      <c r="NG169" s="168">
        <v>6185452</v>
      </c>
      <c r="NH169" s="168">
        <v>5380034</v>
      </c>
      <c r="NI169" s="21"/>
      <c r="NJ169" s="21"/>
      <c r="NK169" s="21"/>
      <c r="NL169" s="21"/>
      <c r="NM169" s="168">
        <v>9999612</v>
      </c>
      <c r="NN169" s="168">
        <v>12988737</v>
      </c>
      <c r="NO169" s="168">
        <v>21198828</v>
      </c>
      <c r="NP169" s="168">
        <v>23271283</v>
      </c>
      <c r="NQ169" s="168" t="s">
        <v>1367</v>
      </c>
      <c r="NR169" s="168" t="s">
        <v>769</v>
      </c>
      <c r="NS169" s="168" t="s">
        <v>770</v>
      </c>
      <c r="NT169" s="168" t="s">
        <v>771</v>
      </c>
      <c r="NU169" s="168">
        <v>5103</v>
      </c>
      <c r="NV169" s="168" t="s">
        <v>2104</v>
      </c>
      <c r="NW169" s="168" t="s">
        <v>28</v>
      </c>
      <c r="NX169" s="168" t="s">
        <v>25</v>
      </c>
      <c r="NY169" s="169">
        <v>42825</v>
      </c>
      <c r="NZ169" s="169">
        <v>42460</v>
      </c>
      <c r="OA169" s="169">
        <v>42985</v>
      </c>
      <c r="OB169" s="168" t="s">
        <v>1368</v>
      </c>
      <c r="OC169" s="168">
        <v>12</v>
      </c>
      <c r="OD169" s="168" t="s">
        <v>2105</v>
      </c>
      <c r="OE169" s="168" t="s">
        <v>2494</v>
      </c>
      <c r="OF169" s="168" t="s">
        <v>2495</v>
      </c>
      <c r="OG169" s="168" t="s">
        <v>1987</v>
      </c>
      <c r="OH169" s="168" t="s">
        <v>787</v>
      </c>
      <c r="OI169" s="168" t="s">
        <v>766</v>
      </c>
      <c r="OJ169" s="168" t="s">
        <v>3240</v>
      </c>
      <c r="OK169" s="168" t="s">
        <v>767</v>
      </c>
    </row>
    <row r="170" spans="1:401" x14ac:dyDescent="0.2">
      <c r="A170" s="170" t="str">
        <f>Liste[[#This Row],[Siren]]</f>
        <v>528556806</v>
      </c>
      <c r="B170" s="198" t="str">
        <f>Liste[[#This Row],[Dénomination]]&amp;" - comptes "&amp;YEAR(Liste[[#This Row],[Date de cloture de l''exercice]])</f>
        <v>ENGINEERING AND FINANCE PARTNERS - comptes 2017</v>
      </c>
      <c r="C170" s="21"/>
      <c r="D170" s="21"/>
      <c r="E170" s="21"/>
      <c r="F170" s="168">
        <v>6928000</v>
      </c>
      <c r="G170" s="168">
        <v>6345000</v>
      </c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168">
        <v>42852000</v>
      </c>
      <c r="BE170" s="168">
        <v>24907000</v>
      </c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168">
        <v>6754000</v>
      </c>
      <c r="BY170" s="168">
        <v>14295000</v>
      </c>
      <c r="BZ170" s="21"/>
      <c r="CA170" s="21"/>
      <c r="CB170" s="21"/>
      <c r="CC170" s="21"/>
      <c r="CD170" s="21"/>
      <c r="CE170" s="168">
        <v>3493000</v>
      </c>
      <c r="CF170" s="168">
        <v>3913000</v>
      </c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168">
        <v>9819000</v>
      </c>
      <c r="EM170" s="168">
        <v>11045000</v>
      </c>
      <c r="EN170" s="21"/>
      <c r="EO170" s="21"/>
      <c r="EP170" s="168">
        <v>61763000</v>
      </c>
      <c r="EQ170" s="168">
        <v>53355000</v>
      </c>
      <c r="ER170" s="21"/>
      <c r="ES170" s="21"/>
      <c r="ET170" s="168">
        <v>71582000</v>
      </c>
      <c r="EU170" s="168">
        <v>64400000</v>
      </c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168">
        <v>746000</v>
      </c>
      <c r="FG170" s="168">
        <v>2512000</v>
      </c>
      <c r="FH170" s="21"/>
      <c r="FI170" s="168">
        <v>515000</v>
      </c>
      <c r="FJ170" s="168">
        <v>-85000</v>
      </c>
      <c r="FK170" s="21"/>
      <c r="FL170" s="21"/>
      <c r="FM170" s="21"/>
      <c r="FN170" s="21"/>
      <c r="FO170" s="21"/>
      <c r="FP170" s="21"/>
      <c r="FQ170" s="21"/>
      <c r="FR170" s="168">
        <v>-673000</v>
      </c>
      <c r="FS170" s="21"/>
      <c r="FT170" s="21"/>
      <c r="FU170" s="21"/>
      <c r="FV170" s="21"/>
      <c r="FW170" s="168">
        <v>-1615000</v>
      </c>
      <c r="FX170" s="168">
        <v>-1580000</v>
      </c>
      <c r="FY170" s="168">
        <v>515000</v>
      </c>
      <c r="FZ170" s="168">
        <v>277000</v>
      </c>
      <c r="GA170" s="21"/>
      <c r="GB170" s="21"/>
      <c r="GC170" s="21"/>
      <c r="GD170" s="21"/>
      <c r="GE170" s="21"/>
      <c r="GF170" s="21"/>
      <c r="GG170" s="21"/>
      <c r="GH170" s="21"/>
      <c r="GI170" s="21"/>
      <c r="GJ170" s="21"/>
      <c r="GK170" s="21"/>
      <c r="GL170" s="21"/>
      <c r="GM170" s="168">
        <v>3267000</v>
      </c>
      <c r="GN170" s="168">
        <v>2487000</v>
      </c>
      <c r="GO170" s="21"/>
      <c r="GP170" s="21"/>
      <c r="GQ170" s="21"/>
      <c r="GR170" s="21"/>
      <c r="GS170" s="168">
        <v>2752000</v>
      </c>
      <c r="GT170" s="168">
        <v>2211000</v>
      </c>
      <c r="GU170" s="21"/>
      <c r="GV170" s="21"/>
      <c r="GW170" s="21"/>
      <c r="GX170" s="21"/>
      <c r="GY170" s="21"/>
      <c r="GZ170" s="21"/>
      <c r="HA170" s="21"/>
      <c r="HB170" s="21"/>
      <c r="HC170" s="21"/>
      <c r="HD170" s="21"/>
      <c r="HE170" s="168">
        <v>-18536000</v>
      </c>
      <c r="HF170" s="168">
        <v>-1808000</v>
      </c>
      <c r="HG170" s="21"/>
      <c r="HH170" s="21"/>
      <c r="HI170" s="168">
        <v>1180000</v>
      </c>
      <c r="HJ170" s="168">
        <v>1421000</v>
      </c>
      <c r="HK170" s="21"/>
      <c r="HL170" s="21"/>
      <c r="HM170" s="21"/>
      <c r="HN170" s="21"/>
      <c r="HO170" s="21"/>
      <c r="HP170" s="21"/>
      <c r="HQ170" s="21"/>
      <c r="HR170" s="21"/>
      <c r="HS170" s="21"/>
      <c r="HT170" s="21"/>
      <c r="HU170" s="21"/>
      <c r="HV170" s="21"/>
      <c r="HW170" s="21"/>
      <c r="HX170" s="21"/>
      <c r="HY170" s="21"/>
      <c r="HZ170" s="21"/>
      <c r="IA170" s="21"/>
      <c r="IB170" s="21"/>
      <c r="IC170" s="21"/>
      <c r="ID170" s="21"/>
      <c r="IE170" s="168">
        <v>-1531000</v>
      </c>
      <c r="IF170" s="168">
        <v>-1882000</v>
      </c>
      <c r="IG170" s="21"/>
      <c r="IH170" s="21"/>
      <c r="II170" s="21"/>
      <c r="IJ170" s="21"/>
      <c r="IK170" s="21"/>
      <c r="IL170" s="21"/>
      <c r="IM170" s="21"/>
      <c r="IN170" s="21"/>
      <c r="IO170" s="21"/>
      <c r="IP170" s="21"/>
      <c r="IQ170" s="21"/>
      <c r="IR170" s="21"/>
      <c r="IS170" s="21"/>
      <c r="IT170" s="21"/>
      <c r="IU170" s="168">
        <v>4367000</v>
      </c>
      <c r="IV170" s="168">
        <v>4826000</v>
      </c>
      <c r="IW170" s="168">
        <v>4698000</v>
      </c>
      <c r="IX170" s="168">
        <v>5303000</v>
      </c>
      <c r="IY170" s="168">
        <v>-331000</v>
      </c>
      <c r="IZ170" s="168">
        <v>-477000</v>
      </c>
      <c r="JA170" s="21"/>
      <c r="JB170" s="21"/>
      <c r="JC170" s="21"/>
      <c r="JD170" s="21"/>
      <c r="JE170" s="168">
        <v>-2858000</v>
      </c>
      <c r="JF170" s="168">
        <v>-25586000</v>
      </c>
      <c r="JG170" s="21"/>
      <c r="JH170" s="21"/>
      <c r="JI170" s="21"/>
      <c r="JJ170" s="21"/>
      <c r="JK170" s="21"/>
      <c r="JL170" s="21"/>
      <c r="JM170" s="21"/>
      <c r="JN170" s="21"/>
      <c r="JO170" s="21"/>
      <c r="JP170" s="21"/>
      <c r="JQ170" s="21"/>
      <c r="JR170" s="21"/>
      <c r="JS170" s="21"/>
      <c r="JT170" s="21"/>
      <c r="JU170" s="21"/>
      <c r="JV170" s="21"/>
      <c r="JW170" s="168">
        <v>95986000</v>
      </c>
      <c r="JX170" s="168">
        <v>89933000</v>
      </c>
      <c r="JY170" s="21"/>
      <c r="JZ170" s="21"/>
      <c r="KA170" s="21"/>
      <c r="KB170" s="21"/>
      <c r="KC170" s="21"/>
      <c r="KD170" s="21"/>
      <c r="KE170" s="21"/>
      <c r="KF170" s="21"/>
      <c r="KG170" s="21"/>
      <c r="KH170" s="21"/>
      <c r="KI170" s="21"/>
      <c r="KJ170" s="21"/>
      <c r="KK170" s="21"/>
      <c r="KL170" s="21"/>
      <c r="KM170" s="21"/>
      <c r="KN170" s="21"/>
      <c r="KO170" s="21"/>
      <c r="KP170" s="21"/>
      <c r="KQ170" s="21"/>
      <c r="KR170" s="21"/>
      <c r="KS170" s="21"/>
      <c r="KT170" s="21"/>
      <c r="KU170" s="21"/>
      <c r="KV170" s="21"/>
      <c r="KW170" s="21"/>
      <c r="KX170" s="21"/>
      <c r="KY170" s="21"/>
      <c r="KZ170" s="21"/>
      <c r="LA170" s="168">
        <v>8321000</v>
      </c>
      <c r="LB170" s="168">
        <v>8321000</v>
      </c>
      <c r="LC170" s="21"/>
      <c r="LD170" s="21"/>
      <c r="LE170" s="21"/>
      <c r="LF170" s="21"/>
      <c r="LG170" s="21"/>
      <c r="LH170" s="21"/>
      <c r="LI170" s="21"/>
      <c r="LJ170" s="21"/>
      <c r="LK170" s="168">
        <v>15116000</v>
      </c>
      <c r="LL170" s="168">
        <v>10172000</v>
      </c>
      <c r="LM170" s="21"/>
      <c r="LN170" s="21"/>
      <c r="LO170" s="21"/>
      <c r="LP170" s="21"/>
      <c r="LQ170" s="21"/>
      <c r="LR170" s="21"/>
      <c r="LS170" s="21"/>
      <c r="LT170" s="21"/>
      <c r="LU170" s="21"/>
      <c r="LV170" s="21"/>
      <c r="LW170" s="21"/>
      <c r="LX170" s="21"/>
      <c r="LY170" s="21"/>
      <c r="LZ170" s="21"/>
      <c r="MA170" s="21"/>
      <c r="MB170" s="21"/>
      <c r="MC170" s="168">
        <v>13288000</v>
      </c>
      <c r="MD170" s="168">
        <v>14071000</v>
      </c>
      <c r="ME170" s="21"/>
      <c r="MF170" s="21"/>
      <c r="MG170" s="168">
        <v>201000</v>
      </c>
      <c r="MH170" s="168">
        <v>297000</v>
      </c>
      <c r="MI170" s="168">
        <v>293000</v>
      </c>
      <c r="MJ170" s="168">
        <v>293000</v>
      </c>
      <c r="MK170" s="21"/>
      <c r="ML170" s="21"/>
      <c r="MM170" s="21"/>
      <c r="MN170" s="21"/>
      <c r="MO170" s="21"/>
      <c r="MP170" s="21"/>
      <c r="MQ170" s="21"/>
      <c r="MR170" s="21"/>
      <c r="MS170" s="21"/>
      <c r="MT170" s="21"/>
      <c r="MU170" s="21"/>
      <c r="MV170" s="21"/>
      <c r="MW170" s="21"/>
      <c r="MX170" s="21"/>
      <c r="MY170" s="21"/>
      <c r="MZ170" s="21"/>
      <c r="NA170" s="21"/>
      <c r="NB170" s="21"/>
      <c r="NC170" s="168">
        <v>2752000</v>
      </c>
      <c r="ND170" s="168">
        <v>2211000</v>
      </c>
      <c r="NE170" s="21"/>
      <c r="NF170" s="21"/>
      <c r="NG170" s="168">
        <v>18354000</v>
      </c>
      <c r="NH170" s="168">
        <v>16766000</v>
      </c>
      <c r="NI170" s="21"/>
      <c r="NJ170" s="21"/>
      <c r="NK170" s="21"/>
      <c r="NL170" s="21"/>
      <c r="NM170" s="168">
        <v>49825000</v>
      </c>
      <c r="NN170" s="168">
        <v>44435000</v>
      </c>
      <c r="NO170" s="168">
        <v>71582000</v>
      </c>
      <c r="NP170" s="168">
        <v>64400000</v>
      </c>
      <c r="NQ170" s="168" t="s">
        <v>1103</v>
      </c>
      <c r="NR170" s="168" t="s">
        <v>769</v>
      </c>
      <c r="NS170" s="168" t="s">
        <v>770</v>
      </c>
      <c r="NT170" s="168" t="s">
        <v>771</v>
      </c>
      <c r="NU170" s="168">
        <v>1303</v>
      </c>
      <c r="NV170" s="168" t="s">
        <v>2104</v>
      </c>
      <c r="NW170" s="168" t="s">
        <v>28</v>
      </c>
      <c r="NX170" s="168" t="s">
        <v>25</v>
      </c>
      <c r="NY170" s="169">
        <v>42825</v>
      </c>
      <c r="NZ170" s="169">
        <v>42460</v>
      </c>
      <c r="OA170" s="169">
        <v>42984</v>
      </c>
      <c r="OB170" s="168" t="s">
        <v>1369</v>
      </c>
      <c r="OC170" s="168">
        <v>12</v>
      </c>
      <c r="OD170" s="168" t="s">
        <v>2106</v>
      </c>
      <c r="OE170" s="168" t="s">
        <v>2496</v>
      </c>
      <c r="OF170" s="168" t="s">
        <v>2497</v>
      </c>
      <c r="OG170" s="168" t="s">
        <v>1988</v>
      </c>
      <c r="OH170" s="168" t="s">
        <v>967</v>
      </c>
      <c r="OI170" s="168" t="s">
        <v>766</v>
      </c>
      <c r="OJ170" s="168" t="s">
        <v>3240</v>
      </c>
      <c r="OK170" s="168" t="s">
        <v>767</v>
      </c>
    </row>
    <row r="171" spans="1:401" x14ac:dyDescent="0.2">
      <c r="A171" s="170" t="str">
        <f>Liste[[#This Row],[Siren]]</f>
        <v>538408766</v>
      </c>
      <c r="B171" s="198" t="str">
        <f>Liste[[#This Row],[Dénomination]]&amp;" - comptes "&amp;YEAR(Liste[[#This Row],[Date de cloture de l''exercice]])</f>
        <v>MILEXIA DEVELOPPEMENT - comptes 2017</v>
      </c>
      <c r="C171" s="21"/>
      <c r="D171" s="21"/>
      <c r="E171" s="21"/>
      <c r="F171" s="168">
        <v>200983</v>
      </c>
      <c r="G171" s="168">
        <v>379823</v>
      </c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168">
        <v>288045</v>
      </c>
      <c r="BA171" s="168">
        <v>278361</v>
      </c>
      <c r="BB171" s="21"/>
      <c r="BC171" s="21"/>
      <c r="BD171" s="168">
        <v>15746348</v>
      </c>
      <c r="BE171" s="168">
        <v>14957085</v>
      </c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168">
        <v>12350271</v>
      </c>
      <c r="CF171" s="168">
        <v>14946296</v>
      </c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168">
        <v>13275670</v>
      </c>
      <c r="EM171" s="168">
        <v>15976049</v>
      </c>
      <c r="EN171" s="21"/>
      <c r="EO171" s="21"/>
      <c r="EP171" s="168">
        <v>26418463</v>
      </c>
      <c r="EQ171" s="168">
        <v>23378461</v>
      </c>
      <c r="ER171" s="21"/>
      <c r="ES171" s="21"/>
      <c r="ET171" s="168">
        <v>39915606</v>
      </c>
      <c r="EU171" s="168">
        <v>39633576</v>
      </c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168">
        <v>6499545</v>
      </c>
      <c r="FG171" s="168">
        <v>3600609</v>
      </c>
      <c r="FH171" s="21"/>
      <c r="FI171" s="168">
        <v>10</v>
      </c>
      <c r="FJ171" s="168">
        <v>6169</v>
      </c>
      <c r="FK171" s="21"/>
      <c r="FL171" s="21"/>
      <c r="FM171" s="21"/>
      <c r="FN171" s="21"/>
      <c r="FO171" s="21"/>
      <c r="FP171" s="21"/>
      <c r="FQ171" s="21"/>
      <c r="FR171" s="21"/>
      <c r="FS171" s="21"/>
      <c r="FT171" s="21"/>
      <c r="FU171" s="21"/>
      <c r="FV171" s="21"/>
      <c r="FW171" s="21"/>
      <c r="FX171" s="21"/>
      <c r="FY171" s="21"/>
      <c r="FZ171" s="21"/>
      <c r="GA171" s="21"/>
      <c r="GB171" s="21"/>
      <c r="GC171" s="21"/>
      <c r="GD171" s="21"/>
      <c r="GE171" s="21"/>
      <c r="GF171" s="21"/>
      <c r="GG171" s="21"/>
      <c r="GH171" s="21"/>
      <c r="GI171" s="21"/>
      <c r="GJ171" s="21"/>
      <c r="GK171" s="21"/>
      <c r="GL171" s="21"/>
      <c r="GM171" s="21"/>
      <c r="GN171" s="21"/>
      <c r="GO171" s="21"/>
      <c r="GP171" s="21"/>
      <c r="GQ171" s="21"/>
      <c r="GR171" s="21"/>
      <c r="GS171" s="168">
        <v>985437</v>
      </c>
      <c r="GT171" s="168">
        <v>485555</v>
      </c>
      <c r="GU171" s="21"/>
      <c r="GV171" s="168">
        <v>-17723</v>
      </c>
      <c r="GW171" s="168">
        <v>10</v>
      </c>
      <c r="GX171" s="168">
        <v>23892</v>
      </c>
      <c r="GY171" s="21"/>
      <c r="GZ171" s="21"/>
      <c r="HA171" s="21"/>
      <c r="HB171" s="21"/>
      <c r="HC171" s="21"/>
      <c r="HD171" s="21"/>
      <c r="HE171" s="168">
        <v>6504078</v>
      </c>
      <c r="HF171" s="168">
        <v>6354853</v>
      </c>
      <c r="HG171" s="21"/>
      <c r="HH171" s="21"/>
      <c r="HI171" s="168">
        <v>190184</v>
      </c>
      <c r="HJ171" s="168">
        <v>169409</v>
      </c>
      <c r="HK171" s="21"/>
      <c r="HL171" s="21"/>
      <c r="HM171" s="21"/>
      <c r="HN171" s="21"/>
      <c r="HO171" s="21"/>
      <c r="HP171" s="21"/>
      <c r="HQ171" s="21"/>
      <c r="HR171" s="21"/>
      <c r="HS171" s="21"/>
      <c r="HT171" s="21"/>
      <c r="HU171" s="21"/>
      <c r="HV171" s="21"/>
      <c r="HW171" s="21"/>
      <c r="HX171" s="21"/>
      <c r="HY171" s="21"/>
      <c r="HZ171" s="21"/>
      <c r="IA171" s="21"/>
      <c r="IB171" s="21"/>
      <c r="IC171" s="21"/>
      <c r="ID171" s="21"/>
      <c r="IE171" s="168">
        <v>435769</v>
      </c>
      <c r="IF171" s="168">
        <v>398508</v>
      </c>
      <c r="IG171" s="21"/>
      <c r="IH171" s="21"/>
      <c r="II171" s="21"/>
      <c r="IJ171" s="21"/>
      <c r="IK171" s="21"/>
      <c r="IL171" s="21"/>
      <c r="IM171" s="21"/>
      <c r="IN171" s="21"/>
      <c r="IO171" s="21"/>
      <c r="IP171" s="21"/>
      <c r="IQ171" s="21"/>
      <c r="IR171" s="21"/>
      <c r="IS171" s="21"/>
      <c r="IT171" s="21"/>
      <c r="IU171" s="168">
        <v>5094976</v>
      </c>
      <c r="IV171" s="168">
        <v>4456968</v>
      </c>
      <c r="IW171" s="168">
        <v>5458150</v>
      </c>
      <c r="IX171" s="168">
        <v>5159110</v>
      </c>
      <c r="IY171" s="168">
        <v>-363174</v>
      </c>
      <c r="IZ171" s="168">
        <v>-702142</v>
      </c>
      <c r="JA171" s="21"/>
      <c r="JB171" s="21"/>
      <c r="JC171" s="21"/>
      <c r="JD171" s="21"/>
      <c r="JE171" s="21"/>
      <c r="JF171" s="21"/>
      <c r="JG171" s="21"/>
      <c r="JH171" s="21"/>
      <c r="JI171" s="168">
        <v>41578833</v>
      </c>
      <c r="JJ171" s="168">
        <v>40272462</v>
      </c>
      <c r="JK171" s="168">
        <v>433837</v>
      </c>
      <c r="JL171" s="168">
        <v>708120</v>
      </c>
      <c r="JM171" s="168">
        <v>47036983</v>
      </c>
      <c r="JN171" s="168">
        <v>45431572</v>
      </c>
      <c r="JO171" s="168">
        <v>70663</v>
      </c>
      <c r="JP171" s="168">
        <v>5978</v>
      </c>
      <c r="JQ171" s="21"/>
      <c r="JR171" s="21"/>
      <c r="JS171" s="21"/>
      <c r="JT171" s="21"/>
      <c r="JU171" s="21"/>
      <c r="JV171" s="21"/>
      <c r="JW171" s="168">
        <v>46846799</v>
      </c>
      <c r="JX171" s="168">
        <v>45262163</v>
      </c>
      <c r="JY171" s="21"/>
      <c r="JZ171" s="21"/>
      <c r="KA171" s="21"/>
      <c r="KB171" s="21"/>
      <c r="KC171" s="21"/>
      <c r="KD171" s="21"/>
      <c r="KE171" s="21"/>
      <c r="KF171" s="21"/>
      <c r="KG171" s="21"/>
      <c r="KH171" s="21"/>
      <c r="KI171" s="21"/>
      <c r="KJ171" s="21"/>
      <c r="KK171" s="21"/>
      <c r="KL171" s="21"/>
      <c r="KM171" s="21"/>
      <c r="KN171" s="21"/>
      <c r="KO171" s="21"/>
      <c r="KP171" s="21"/>
      <c r="KQ171" s="21"/>
      <c r="KR171" s="21"/>
      <c r="KS171" s="21"/>
      <c r="KT171" s="21"/>
      <c r="KU171" s="21"/>
      <c r="KV171" s="21"/>
      <c r="KW171" s="21"/>
      <c r="KX171" s="21"/>
      <c r="KY171" s="21"/>
      <c r="KZ171" s="21"/>
      <c r="LA171" s="168">
        <v>13162000</v>
      </c>
      <c r="LB171" s="168">
        <v>12940000</v>
      </c>
      <c r="LC171" s="21"/>
      <c r="LD171" s="21"/>
      <c r="LE171" s="21"/>
      <c r="LF171" s="21"/>
      <c r="LG171" s="21"/>
      <c r="LH171" s="21"/>
      <c r="LI171" s="21"/>
      <c r="LJ171" s="21"/>
      <c r="LK171" s="168">
        <v>10090406</v>
      </c>
      <c r="LL171" s="168">
        <v>8986288</v>
      </c>
      <c r="LM171" s="21"/>
      <c r="LN171" s="21"/>
      <c r="LO171" s="21"/>
      <c r="LP171" s="21"/>
      <c r="LQ171" s="21"/>
      <c r="LR171" s="21"/>
      <c r="LS171" s="21"/>
      <c r="LT171" s="21"/>
      <c r="LU171" s="21"/>
      <c r="LV171" s="21"/>
      <c r="LW171" s="21"/>
      <c r="LX171" s="21"/>
      <c r="LY171" s="21"/>
      <c r="LZ171" s="21"/>
      <c r="MA171" s="21"/>
      <c r="MB171" s="21"/>
      <c r="MC171" s="168">
        <v>11911498</v>
      </c>
      <c r="MD171" s="168">
        <v>13826185</v>
      </c>
      <c r="ME171" s="21"/>
      <c r="MF171" s="21"/>
      <c r="MG171" s="21"/>
      <c r="MH171" s="21"/>
      <c r="MI171" s="21"/>
      <c r="MJ171" s="21"/>
      <c r="MK171" s="21"/>
      <c r="ML171" s="21"/>
      <c r="MM171" s="168">
        <v>704825</v>
      </c>
      <c r="MN171" s="168">
        <v>822992</v>
      </c>
      <c r="MO171" s="21"/>
      <c r="MP171" s="21"/>
      <c r="MQ171" s="21"/>
      <c r="MR171" s="21"/>
      <c r="MS171" s="21"/>
      <c r="MT171" s="21"/>
      <c r="MU171" s="21"/>
      <c r="MV171" s="21"/>
      <c r="MW171" s="21"/>
      <c r="MX171" s="21"/>
      <c r="MY171" s="21"/>
      <c r="MZ171" s="21"/>
      <c r="NA171" s="21"/>
      <c r="NB171" s="21"/>
      <c r="NC171" s="168">
        <v>985437</v>
      </c>
      <c r="ND171" s="168">
        <v>485555</v>
      </c>
      <c r="NE171" s="21"/>
      <c r="NF171" s="21"/>
      <c r="NG171" s="168">
        <v>13952758</v>
      </c>
      <c r="NH171" s="168">
        <v>12745321</v>
      </c>
      <c r="NI171" s="21"/>
      <c r="NJ171" s="21"/>
      <c r="NK171" s="21"/>
      <c r="NL171" s="21"/>
      <c r="NM171" s="168">
        <v>24889095</v>
      </c>
      <c r="NN171" s="168">
        <v>25854988</v>
      </c>
      <c r="NO171" s="168">
        <v>39915606</v>
      </c>
      <c r="NP171" s="168">
        <v>39633576</v>
      </c>
      <c r="NQ171" s="168" t="s">
        <v>953</v>
      </c>
      <c r="NR171" s="168" t="s">
        <v>769</v>
      </c>
      <c r="NS171" s="168" t="s">
        <v>770</v>
      </c>
      <c r="NT171" s="168" t="s">
        <v>771</v>
      </c>
      <c r="NU171" s="168">
        <v>7801</v>
      </c>
      <c r="NV171" s="168" t="s">
        <v>2104</v>
      </c>
      <c r="NW171" s="168" t="s">
        <v>28</v>
      </c>
      <c r="NX171" s="168" t="s">
        <v>25</v>
      </c>
      <c r="NY171" s="169">
        <v>42825</v>
      </c>
      <c r="NZ171" s="169">
        <v>42460</v>
      </c>
      <c r="OA171" s="169">
        <v>42998</v>
      </c>
      <c r="OB171" s="168" t="s">
        <v>1371</v>
      </c>
      <c r="OC171" s="168">
        <v>12</v>
      </c>
      <c r="OD171" s="168" t="s">
        <v>2105</v>
      </c>
      <c r="OE171" s="168" t="s">
        <v>2170</v>
      </c>
      <c r="OF171" s="168" t="s">
        <v>2500</v>
      </c>
      <c r="OG171" s="168" t="s">
        <v>1990</v>
      </c>
      <c r="OH171" s="168" t="s">
        <v>772</v>
      </c>
      <c r="OI171" s="168" t="s">
        <v>766</v>
      </c>
      <c r="OJ171" s="168" t="s">
        <v>3240</v>
      </c>
      <c r="OK171" s="168" t="s">
        <v>767</v>
      </c>
    </row>
    <row r="172" spans="1:401" x14ac:dyDescent="0.2">
      <c r="A172" s="170" t="str">
        <f>Liste[[#This Row],[Siren]]</f>
        <v>345166425</v>
      </c>
      <c r="B172" s="198" t="str">
        <f>Liste[[#This Row],[Dénomination]]&amp;" - comptes "&amp;YEAR(Liste[[#This Row],[Date de cloture de l''exercice]])</f>
        <v>PRISMAFLEX INTERNATIONAL - comptes 2017</v>
      </c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168">
        <v>11266000</v>
      </c>
      <c r="BE172" s="168">
        <v>8574000</v>
      </c>
      <c r="BF172" s="168">
        <v>-3</v>
      </c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168">
        <v>5549000</v>
      </c>
      <c r="CF172" s="168">
        <v>5694000</v>
      </c>
      <c r="CG172" s="168">
        <v>-5</v>
      </c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168">
        <v>12913000</v>
      </c>
      <c r="EM172" s="168">
        <v>13534000</v>
      </c>
      <c r="EN172" s="168">
        <v>-3</v>
      </c>
      <c r="EO172" s="21"/>
      <c r="EP172" s="168">
        <v>27019000</v>
      </c>
      <c r="EQ172" s="168">
        <v>24800000</v>
      </c>
      <c r="ER172" s="168">
        <v>-3</v>
      </c>
      <c r="ES172" s="21"/>
      <c r="ET172" s="168">
        <v>39932000</v>
      </c>
      <c r="EU172" s="168">
        <v>38334000</v>
      </c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1"/>
      <c r="FM172" s="21"/>
      <c r="FN172" s="21"/>
      <c r="FO172" s="21"/>
      <c r="FP172" s="21"/>
      <c r="FQ172" s="21"/>
      <c r="FR172" s="21"/>
      <c r="FS172" s="21"/>
      <c r="FT172" s="21"/>
      <c r="FU172" s="21"/>
      <c r="FV172" s="21"/>
      <c r="FW172" s="21"/>
      <c r="FX172" s="21"/>
      <c r="FY172" s="168">
        <v>-22</v>
      </c>
      <c r="FZ172" s="168">
        <v>-50</v>
      </c>
      <c r="GA172" s="21"/>
      <c r="GB172" s="21"/>
      <c r="GC172" s="21"/>
      <c r="GD172" s="21"/>
      <c r="GE172" s="21"/>
      <c r="GF172" s="21"/>
      <c r="GG172" s="21"/>
      <c r="GH172" s="21"/>
      <c r="GI172" s="21"/>
      <c r="GJ172" s="21"/>
      <c r="GK172" s="21"/>
      <c r="GL172" s="21"/>
      <c r="GM172" s="168">
        <v>-197</v>
      </c>
      <c r="GN172" s="168">
        <v>-574</v>
      </c>
      <c r="GO172" s="21"/>
      <c r="GP172" s="21"/>
      <c r="GQ172" s="21"/>
      <c r="GR172" s="21"/>
      <c r="GS172" s="168">
        <v>-174</v>
      </c>
      <c r="GT172" s="168">
        <v>-624</v>
      </c>
      <c r="GU172" s="21"/>
      <c r="GV172" s="21"/>
      <c r="GW172" s="21"/>
      <c r="GX172" s="21"/>
      <c r="GY172" s="21"/>
      <c r="GZ172" s="21"/>
      <c r="HA172" s="21"/>
      <c r="HB172" s="21"/>
      <c r="HC172" s="168">
        <v>-12983</v>
      </c>
      <c r="HD172" s="168">
        <v>-13425</v>
      </c>
      <c r="HE172" s="21"/>
      <c r="HF172" s="21"/>
      <c r="HG172" s="21"/>
      <c r="HH172" s="21"/>
      <c r="HI172" s="21"/>
      <c r="HJ172" s="21"/>
      <c r="HK172" s="21"/>
      <c r="HL172" s="21"/>
      <c r="HM172" s="21"/>
      <c r="HN172" s="21"/>
      <c r="HO172" s="21"/>
      <c r="HP172" s="21"/>
      <c r="HQ172" s="21"/>
      <c r="HR172" s="21"/>
      <c r="HS172" s="21"/>
      <c r="HT172" s="21"/>
      <c r="HU172" s="21"/>
      <c r="HV172" s="21"/>
      <c r="HW172" s="21"/>
      <c r="HX172" s="21"/>
      <c r="HY172" s="21"/>
      <c r="HZ172" s="21"/>
      <c r="IA172" s="21"/>
      <c r="IB172" s="21"/>
      <c r="IC172" s="21"/>
      <c r="ID172" s="21"/>
      <c r="IE172" s="168">
        <v>-422</v>
      </c>
      <c r="IF172" s="168">
        <v>-410</v>
      </c>
      <c r="IG172" s="21"/>
      <c r="IH172" s="21"/>
      <c r="II172" s="21"/>
      <c r="IJ172" s="21"/>
      <c r="IK172" s="21"/>
      <c r="IL172" s="21"/>
      <c r="IM172" s="21"/>
      <c r="IN172" s="21"/>
      <c r="IO172" s="21"/>
      <c r="IP172" s="21"/>
      <c r="IQ172" s="21"/>
      <c r="IR172" s="21"/>
      <c r="IS172" s="21"/>
      <c r="IT172" s="21"/>
      <c r="IU172" s="168">
        <v>531</v>
      </c>
      <c r="IV172" s="168">
        <v>-220</v>
      </c>
      <c r="IW172" s="168">
        <v>421</v>
      </c>
      <c r="IX172" s="168">
        <v>462</v>
      </c>
      <c r="IY172" s="168">
        <v>110</v>
      </c>
      <c r="IZ172" s="168">
        <v>-682</v>
      </c>
      <c r="JA172" s="21"/>
      <c r="JB172" s="21"/>
      <c r="JC172" s="21"/>
      <c r="JD172" s="21"/>
      <c r="JE172" s="21"/>
      <c r="JF172" s="21"/>
      <c r="JG172" s="21"/>
      <c r="JH172" s="21"/>
      <c r="JI172" s="168">
        <v>866</v>
      </c>
      <c r="JJ172" s="168">
        <v>671</v>
      </c>
      <c r="JK172" s="21"/>
      <c r="JL172" s="21"/>
      <c r="JM172" s="21"/>
      <c r="JN172" s="21"/>
      <c r="JO172" s="21"/>
      <c r="JP172" s="21"/>
      <c r="JQ172" s="21"/>
      <c r="JR172" s="21"/>
      <c r="JS172" s="21"/>
      <c r="JT172" s="21"/>
      <c r="JU172" s="21"/>
      <c r="JV172" s="21"/>
      <c r="JW172" s="168">
        <v>50123</v>
      </c>
      <c r="JX172" s="168">
        <v>50531</v>
      </c>
      <c r="JY172" s="21"/>
      <c r="JZ172" s="21"/>
      <c r="KA172" s="21"/>
      <c r="KB172" s="21"/>
      <c r="KC172" s="21"/>
      <c r="KD172" s="21"/>
      <c r="KE172" s="21"/>
      <c r="KF172" s="21"/>
      <c r="KG172" s="21"/>
      <c r="KH172" s="21"/>
      <c r="KI172" s="21"/>
      <c r="KJ172" s="21"/>
      <c r="KK172" s="21"/>
      <c r="KL172" s="21"/>
      <c r="KM172" s="21"/>
      <c r="KN172" s="21"/>
      <c r="KO172" s="21"/>
      <c r="KP172" s="21"/>
      <c r="KQ172" s="21"/>
      <c r="KR172" s="21"/>
      <c r="KS172" s="21"/>
      <c r="KT172" s="21"/>
      <c r="KU172" s="21"/>
      <c r="KV172" s="21"/>
      <c r="KW172" s="21"/>
      <c r="KX172" s="21"/>
      <c r="KY172" s="21"/>
      <c r="KZ172" s="21"/>
      <c r="LA172" s="168">
        <v>2393000</v>
      </c>
      <c r="LB172" s="168">
        <v>2375000</v>
      </c>
      <c r="LC172" s="21"/>
      <c r="LD172" s="21"/>
      <c r="LE172" s="21"/>
      <c r="LF172" s="21"/>
      <c r="LG172" s="21"/>
      <c r="LH172" s="21"/>
      <c r="LI172" s="21"/>
      <c r="LJ172" s="21"/>
      <c r="LK172" s="168">
        <v>7260000</v>
      </c>
      <c r="LL172" s="168">
        <v>8497000</v>
      </c>
      <c r="LM172" s="21"/>
      <c r="LN172" s="21"/>
      <c r="LO172" s="21"/>
      <c r="LP172" s="21"/>
      <c r="LQ172" s="21"/>
      <c r="LR172" s="21"/>
      <c r="LS172" s="21"/>
      <c r="LT172" s="21"/>
      <c r="LU172" s="168">
        <v>-735000</v>
      </c>
      <c r="LV172" s="168">
        <v>-594000</v>
      </c>
      <c r="LW172" s="21"/>
      <c r="LX172" s="21"/>
      <c r="LY172" s="21"/>
      <c r="LZ172" s="21"/>
      <c r="MA172" s="21"/>
      <c r="MB172" s="21"/>
      <c r="MC172" s="168">
        <v>11266000</v>
      </c>
      <c r="MD172" s="168">
        <v>9818000</v>
      </c>
      <c r="ME172" s="21"/>
      <c r="MF172" s="21"/>
      <c r="MG172" s="168">
        <v>242000</v>
      </c>
      <c r="MH172" s="168">
        <v>244000</v>
      </c>
      <c r="MI172" s="168">
        <v>6521000</v>
      </c>
      <c r="MJ172" s="168">
        <v>6479000</v>
      </c>
      <c r="MK172" s="21"/>
      <c r="ML172" s="21"/>
      <c r="MM172" s="21"/>
      <c r="MN172" s="21"/>
      <c r="MO172" s="21"/>
      <c r="MP172" s="21"/>
      <c r="MQ172" s="21"/>
      <c r="MR172" s="21"/>
      <c r="MS172" s="21"/>
      <c r="MT172" s="21"/>
      <c r="MU172" s="21"/>
      <c r="MV172" s="21"/>
      <c r="MW172" s="21"/>
      <c r="MX172" s="21"/>
      <c r="MY172" s="21"/>
      <c r="MZ172" s="21"/>
      <c r="NA172" s="21"/>
      <c r="NB172" s="21"/>
      <c r="NC172" s="168">
        <v>-174000</v>
      </c>
      <c r="ND172" s="168">
        <v>-624000</v>
      </c>
      <c r="NE172" s="21"/>
      <c r="NF172" s="21"/>
      <c r="NG172" s="168">
        <v>12665000</v>
      </c>
      <c r="NH172" s="168">
        <v>13000000</v>
      </c>
      <c r="NI172" s="21"/>
      <c r="NJ172" s="21"/>
      <c r="NK172" s="168">
        <v>142000</v>
      </c>
      <c r="NL172" s="168">
        <v>183000</v>
      </c>
      <c r="NM172" s="168">
        <v>26883000</v>
      </c>
      <c r="NN172" s="168">
        <v>24908000</v>
      </c>
      <c r="NO172" s="168">
        <v>39932000</v>
      </c>
      <c r="NP172" s="168">
        <v>38334000</v>
      </c>
      <c r="NQ172" s="168" t="s">
        <v>1237</v>
      </c>
      <c r="NR172" s="168" t="s">
        <v>1238</v>
      </c>
      <c r="NS172" s="168" t="s">
        <v>770</v>
      </c>
      <c r="NT172" s="168" t="s">
        <v>771</v>
      </c>
      <c r="NU172" s="168">
        <v>6901</v>
      </c>
      <c r="NV172" s="168" t="s">
        <v>2104</v>
      </c>
      <c r="NW172" s="168" t="s">
        <v>28</v>
      </c>
      <c r="NX172" s="168" t="s">
        <v>25</v>
      </c>
      <c r="NY172" s="169">
        <v>42825</v>
      </c>
      <c r="NZ172" s="169">
        <v>42460</v>
      </c>
      <c r="OA172" s="169">
        <v>43076</v>
      </c>
      <c r="OB172" s="168" t="s">
        <v>1239</v>
      </c>
      <c r="OC172" s="168">
        <v>12</v>
      </c>
      <c r="OD172" s="168" t="s">
        <v>2105</v>
      </c>
      <c r="OE172" s="168" t="s">
        <v>1240</v>
      </c>
      <c r="OF172" s="168" t="s">
        <v>2391</v>
      </c>
      <c r="OG172" s="168" t="s">
        <v>1930</v>
      </c>
      <c r="OH172" s="168" t="s">
        <v>819</v>
      </c>
      <c r="OI172" s="168" t="s">
        <v>766</v>
      </c>
      <c r="OJ172" s="168" t="s">
        <v>3240</v>
      </c>
      <c r="OK172" s="168" t="s">
        <v>1236</v>
      </c>
    </row>
    <row r="173" spans="1:401" x14ac:dyDescent="0.2">
      <c r="A173" s="170" t="str">
        <f>Liste[[#This Row],[Siren]]</f>
        <v>429476740</v>
      </c>
      <c r="B173" s="198" t="str">
        <f>Liste[[#This Row],[Dénomination]]&amp;" - comptes "&amp;YEAR(Liste[[#This Row],[Date de cloture de l''exercice]])</f>
        <v>FJMN - comptes 2017</v>
      </c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168">
        <v>214773</v>
      </c>
      <c r="BD173" s="168">
        <v>4715263</v>
      </c>
      <c r="BE173" s="168">
        <v>3763821</v>
      </c>
      <c r="BF173" s="168">
        <v>4930036</v>
      </c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168">
        <v>3523263</v>
      </c>
      <c r="BY173" s="168">
        <v>1293370</v>
      </c>
      <c r="BZ173" s="168">
        <v>3523263</v>
      </c>
      <c r="CA173" s="21"/>
      <c r="CB173" s="21"/>
      <c r="CC173" s="21"/>
      <c r="CD173" s="168">
        <v>49666</v>
      </c>
      <c r="CE173" s="168">
        <v>470012</v>
      </c>
      <c r="CF173" s="168">
        <v>159495</v>
      </c>
      <c r="CG173" s="168">
        <v>519678</v>
      </c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168">
        <v>696036</v>
      </c>
      <c r="DT173" s="168">
        <v>14222117</v>
      </c>
      <c r="DU173" s="168">
        <v>696036</v>
      </c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168">
        <v>10697871</v>
      </c>
      <c r="EL173" s="168">
        <v>50336589</v>
      </c>
      <c r="EM173" s="168">
        <v>35639891</v>
      </c>
      <c r="EN173" s="168">
        <v>61034461</v>
      </c>
      <c r="EO173" s="168">
        <v>214773</v>
      </c>
      <c r="EP173" s="168">
        <v>18031728</v>
      </c>
      <c r="EQ173" s="168">
        <v>16155091</v>
      </c>
      <c r="ER173" s="168">
        <v>18246501</v>
      </c>
      <c r="ES173" s="168">
        <v>10912644</v>
      </c>
      <c r="ET173" s="168">
        <v>68368317</v>
      </c>
      <c r="EU173" s="168">
        <v>51794982</v>
      </c>
      <c r="EV173" s="168">
        <v>79280962</v>
      </c>
      <c r="EW173" s="21"/>
      <c r="EX173" s="21"/>
      <c r="EY173" s="21"/>
      <c r="EZ173" s="21"/>
      <c r="FA173" s="21"/>
      <c r="FB173" s="21"/>
      <c r="FC173" s="21"/>
      <c r="FD173" s="21"/>
      <c r="FE173" s="21"/>
      <c r="FF173" s="168">
        <v>398378</v>
      </c>
      <c r="FG173" s="168">
        <v>385036</v>
      </c>
      <c r="FH173" s="168">
        <v>398378</v>
      </c>
      <c r="FI173" s="21"/>
      <c r="FJ173" s="21"/>
      <c r="FK173" s="21"/>
      <c r="FL173" s="21"/>
      <c r="FM173" s="21"/>
      <c r="FN173" s="21"/>
      <c r="FO173" s="21"/>
      <c r="FP173" s="21"/>
      <c r="FQ173" s="168">
        <v>7962</v>
      </c>
      <c r="FR173" s="168">
        <v>10550</v>
      </c>
      <c r="FS173" s="21"/>
      <c r="FT173" s="21"/>
      <c r="FU173" s="21"/>
      <c r="FV173" s="21"/>
      <c r="FW173" s="168">
        <v>1165202</v>
      </c>
      <c r="FX173" s="168">
        <v>38075</v>
      </c>
      <c r="FY173" s="168">
        <v>-541</v>
      </c>
      <c r="FZ173" s="168">
        <v>224860</v>
      </c>
      <c r="GA173" s="21"/>
      <c r="GB173" s="21"/>
      <c r="GC173" s="21"/>
      <c r="GD173" s="21"/>
      <c r="GE173" s="21"/>
      <c r="GF173" s="21"/>
      <c r="GG173" s="21"/>
      <c r="GH173" s="21"/>
      <c r="GI173" s="21"/>
      <c r="GJ173" s="21"/>
      <c r="GK173" s="21"/>
      <c r="GL173" s="21"/>
      <c r="GM173" s="168">
        <v>5922575</v>
      </c>
      <c r="GN173" s="168">
        <v>-2951202</v>
      </c>
      <c r="GO173" s="21"/>
      <c r="GP173" s="21"/>
      <c r="GQ173" s="21"/>
      <c r="GR173" s="21"/>
      <c r="GS173" s="168">
        <v>5923115</v>
      </c>
      <c r="GT173" s="168">
        <v>-3176062</v>
      </c>
      <c r="GU173" s="21"/>
      <c r="GV173" s="21"/>
      <c r="GW173" s="21"/>
      <c r="GX173" s="21"/>
      <c r="GY173" s="21"/>
      <c r="GZ173" s="21"/>
      <c r="HA173" s="21"/>
      <c r="HB173" s="21"/>
      <c r="HC173" s="21"/>
      <c r="HD173" s="21"/>
      <c r="HE173" s="21"/>
      <c r="HF173" s="168">
        <v>66073</v>
      </c>
      <c r="HG173" s="21"/>
      <c r="HH173" s="21"/>
      <c r="HI173" s="168">
        <v>5088958</v>
      </c>
      <c r="HJ173" s="168">
        <v>6027003</v>
      </c>
      <c r="HK173" s="21"/>
      <c r="HL173" s="21"/>
      <c r="HM173" s="21"/>
      <c r="HN173" s="21"/>
      <c r="HO173" s="21"/>
      <c r="HP173" s="21"/>
      <c r="HQ173" s="21"/>
      <c r="HR173" s="21"/>
      <c r="HS173" s="21"/>
      <c r="HT173" s="21"/>
      <c r="HU173" s="21"/>
      <c r="HV173" s="21"/>
      <c r="HW173" s="21"/>
      <c r="HX173" s="21"/>
      <c r="HY173" s="21"/>
      <c r="HZ173" s="21"/>
      <c r="IA173" s="21"/>
      <c r="IB173" s="21"/>
      <c r="IC173" s="21"/>
      <c r="ID173" s="21"/>
      <c r="IE173" s="168">
        <v>755642</v>
      </c>
      <c r="IF173" s="168">
        <v>818926</v>
      </c>
      <c r="IG173" s="21"/>
      <c r="IH173" s="21"/>
      <c r="II173" s="21"/>
      <c r="IJ173" s="21"/>
      <c r="IK173" s="21"/>
      <c r="IL173" s="21"/>
      <c r="IM173" s="21"/>
      <c r="IN173" s="21"/>
      <c r="IO173" s="21"/>
      <c r="IP173" s="21"/>
      <c r="IQ173" s="21"/>
      <c r="IR173" s="21"/>
      <c r="IS173" s="21"/>
      <c r="IT173" s="21"/>
      <c r="IU173" s="21"/>
      <c r="IV173" s="21"/>
      <c r="IW173" s="168">
        <v>-430426</v>
      </c>
      <c r="IX173" s="168">
        <v>-2244345</v>
      </c>
      <c r="IY173" s="21"/>
      <c r="IZ173" s="21"/>
      <c r="JA173" s="21"/>
      <c r="JB173" s="21"/>
      <c r="JC173" s="21"/>
      <c r="JD173" s="21"/>
      <c r="JE173" s="21"/>
      <c r="JF173" s="21"/>
      <c r="JG173" s="21"/>
      <c r="JH173" s="21"/>
      <c r="JI173" s="168">
        <v>19697101</v>
      </c>
      <c r="JJ173" s="168">
        <v>30078697</v>
      </c>
      <c r="JK173" s="21"/>
      <c r="JL173" s="21"/>
      <c r="JM173" s="168">
        <v>19266675</v>
      </c>
      <c r="JN173" s="168">
        <v>27702206</v>
      </c>
      <c r="JO173" s="21"/>
      <c r="JP173" s="21"/>
      <c r="JQ173" s="21"/>
      <c r="JR173" s="21"/>
      <c r="JS173" s="21"/>
      <c r="JT173" s="21"/>
      <c r="JU173" s="21"/>
      <c r="JV173" s="21"/>
      <c r="JW173" s="168">
        <v>14177717</v>
      </c>
      <c r="JX173" s="168">
        <v>21675203</v>
      </c>
      <c r="JY173" s="21"/>
      <c r="JZ173" s="21"/>
      <c r="KA173" s="21"/>
      <c r="KB173" s="21"/>
      <c r="KC173" s="21"/>
      <c r="KD173" s="21"/>
      <c r="KE173" s="21"/>
      <c r="KF173" s="21"/>
      <c r="KG173" s="21"/>
      <c r="KH173" s="21"/>
      <c r="KI173" s="21"/>
      <c r="KJ173" s="21"/>
      <c r="KK173" s="21"/>
      <c r="KL173" s="21"/>
      <c r="KM173" s="21"/>
      <c r="KN173" s="21"/>
      <c r="KO173" s="21"/>
      <c r="KP173" s="21"/>
      <c r="KQ173" s="21"/>
      <c r="KR173" s="21"/>
      <c r="KS173" s="21"/>
      <c r="KT173" s="21"/>
      <c r="KU173" s="21"/>
      <c r="KV173" s="21"/>
      <c r="KW173" s="21"/>
      <c r="KX173" s="21"/>
      <c r="KY173" s="21"/>
      <c r="KZ173" s="21"/>
      <c r="LA173" s="168">
        <v>459338</v>
      </c>
      <c r="LB173" s="168">
        <v>459338</v>
      </c>
      <c r="LC173" s="21"/>
      <c r="LD173" s="21"/>
      <c r="LE173" s="21"/>
      <c r="LF173" s="21"/>
      <c r="LG173" s="21"/>
      <c r="LH173" s="21"/>
      <c r="LI173" s="21"/>
      <c r="LJ173" s="21"/>
      <c r="LK173" s="168">
        <v>10199314</v>
      </c>
      <c r="LL173" s="21"/>
      <c r="LM173" s="21"/>
      <c r="LN173" s="21"/>
      <c r="LO173" s="21"/>
      <c r="LP173" s="21"/>
      <c r="LQ173" s="21"/>
      <c r="LR173" s="21"/>
      <c r="LS173" s="21"/>
      <c r="LT173" s="21"/>
      <c r="LU173" s="21"/>
      <c r="LV173" s="21"/>
      <c r="LW173" s="21"/>
      <c r="LX173" s="21"/>
      <c r="LY173" s="21"/>
      <c r="LZ173" s="21"/>
      <c r="MA173" s="21"/>
      <c r="MB173" s="21"/>
      <c r="MC173" s="168">
        <v>26300470</v>
      </c>
      <c r="MD173" s="168">
        <v>18191448</v>
      </c>
      <c r="ME173" s="21"/>
      <c r="MF173" s="21"/>
      <c r="MG173" s="21"/>
      <c r="MH173" s="21"/>
      <c r="MI173" s="21"/>
      <c r="MJ173" s="21"/>
      <c r="MK173" s="21"/>
      <c r="ML173" s="21"/>
      <c r="MM173" s="21"/>
      <c r="MN173" s="21"/>
      <c r="MO173" s="21"/>
      <c r="MP173" s="21"/>
      <c r="MQ173" s="21"/>
      <c r="MR173" s="21"/>
      <c r="MS173" s="21"/>
      <c r="MT173" s="21"/>
      <c r="MU173" s="21"/>
      <c r="MV173" s="21"/>
      <c r="MW173" s="21"/>
      <c r="MX173" s="21"/>
      <c r="MY173" s="21"/>
      <c r="MZ173" s="21"/>
      <c r="NA173" s="21"/>
      <c r="NB173" s="21"/>
      <c r="NC173" s="168">
        <v>5923118</v>
      </c>
      <c r="ND173" s="168">
        <v>3176060</v>
      </c>
      <c r="NE173" s="21"/>
      <c r="NF173" s="21"/>
      <c r="NG173" s="168">
        <v>25142460</v>
      </c>
      <c r="NH173" s="168">
        <v>19157897</v>
      </c>
      <c r="NI173" s="21"/>
      <c r="NJ173" s="21"/>
      <c r="NK173" s="21"/>
      <c r="NL173" s="21"/>
      <c r="NM173" s="168">
        <v>40765400</v>
      </c>
      <c r="NN173" s="168">
        <v>30233351</v>
      </c>
      <c r="NO173" s="168">
        <v>68368317</v>
      </c>
      <c r="NP173" s="168">
        <v>51794982</v>
      </c>
      <c r="NQ173" s="168" t="s">
        <v>3332</v>
      </c>
      <c r="NR173" s="168" t="s">
        <v>769</v>
      </c>
      <c r="NS173" s="168" t="s">
        <v>770</v>
      </c>
      <c r="NT173" s="168" t="s">
        <v>771</v>
      </c>
      <c r="NU173" s="168">
        <v>8303</v>
      </c>
      <c r="NV173" s="168" t="s">
        <v>2104</v>
      </c>
      <c r="NW173" s="168" t="s">
        <v>28</v>
      </c>
      <c r="NX173" s="168" t="s">
        <v>25</v>
      </c>
      <c r="NY173" s="169">
        <v>42825</v>
      </c>
      <c r="NZ173" s="169">
        <v>42460</v>
      </c>
      <c r="OA173" s="169">
        <v>43062</v>
      </c>
      <c r="OB173" s="168" t="s">
        <v>1273</v>
      </c>
      <c r="OC173" s="168">
        <v>12</v>
      </c>
      <c r="OD173" s="168" t="s">
        <v>2105</v>
      </c>
      <c r="OE173" s="168" t="s">
        <v>2367</v>
      </c>
      <c r="OF173" s="168" t="s">
        <v>2418</v>
      </c>
      <c r="OG173" s="168" t="s">
        <v>1946</v>
      </c>
      <c r="OH173" s="168" t="s">
        <v>1069</v>
      </c>
      <c r="OI173" s="168" t="s">
        <v>766</v>
      </c>
      <c r="OJ173" s="168" t="s">
        <v>3240</v>
      </c>
      <c r="OK173" s="168" t="s">
        <v>767</v>
      </c>
    </row>
    <row r="174" spans="1:401" x14ac:dyDescent="0.2">
      <c r="A174" s="170" t="str">
        <f>Liste[[#This Row],[Siren]]</f>
        <v>477799100</v>
      </c>
      <c r="B174" s="198" t="str">
        <f>Liste[[#This Row],[Dénomination]]&amp;" - comptes "&amp;YEAR(Liste[[#This Row],[Date de cloture de l''exercice]])</f>
        <v>MARGO INVESTISSEMENTS - comptes 2017</v>
      </c>
      <c r="C174" s="21"/>
      <c r="D174" s="21"/>
      <c r="E174" s="21"/>
      <c r="F174" s="168">
        <v>902695</v>
      </c>
      <c r="G174" s="168">
        <v>358008</v>
      </c>
      <c r="H174" s="21"/>
      <c r="I174" s="21"/>
      <c r="J174" s="168">
        <v>182937</v>
      </c>
      <c r="K174" s="168">
        <v>196151</v>
      </c>
      <c r="L174" s="21"/>
      <c r="M174" s="21"/>
      <c r="N174" s="168">
        <v>135217</v>
      </c>
      <c r="O174" s="168">
        <v>140347</v>
      </c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168">
        <v>5119</v>
      </c>
      <c r="AA174" s="168">
        <v>5067</v>
      </c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168">
        <v>201937</v>
      </c>
      <c r="BE174" s="168">
        <v>196783</v>
      </c>
      <c r="BF174" s="21"/>
      <c r="BG174" s="21"/>
      <c r="BH174" s="168">
        <v>7133</v>
      </c>
      <c r="BI174" s="21"/>
      <c r="BJ174" s="21"/>
      <c r="BK174" s="21"/>
      <c r="BL174" s="168">
        <v>8887787</v>
      </c>
      <c r="BM174" s="168">
        <v>9886122</v>
      </c>
      <c r="BN174" s="21"/>
      <c r="BO174" s="21"/>
      <c r="BP174" s="168">
        <v>809182</v>
      </c>
      <c r="BQ174" s="168">
        <v>806778</v>
      </c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168">
        <v>7131324</v>
      </c>
      <c r="CF174" s="168">
        <v>7131324</v>
      </c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168">
        <v>960429</v>
      </c>
      <c r="CR174" s="168">
        <v>960429</v>
      </c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168">
        <v>253164</v>
      </c>
      <c r="DH174" s="168">
        <v>365628</v>
      </c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168">
        <v>19319148</v>
      </c>
      <c r="EM174" s="168">
        <v>20438702</v>
      </c>
      <c r="EN174" s="21"/>
      <c r="EO174" s="21"/>
      <c r="EP174" s="168">
        <v>13613432</v>
      </c>
      <c r="EQ174" s="168">
        <v>13328645</v>
      </c>
      <c r="ER174" s="21"/>
      <c r="ES174" s="21"/>
      <c r="ET174" s="168">
        <v>32932580</v>
      </c>
      <c r="EU174" s="168">
        <v>33767347</v>
      </c>
      <c r="EV174" s="21"/>
      <c r="EW174" s="21"/>
      <c r="EX174" s="168">
        <v>946856</v>
      </c>
      <c r="EY174" s="168">
        <v>946856</v>
      </c>
      <c r="EZ174" s="21"/>
      <c r="FA174" s="21"/>
      <c r="FB174" s="21"/>
      <c r="FC174" s="21"/>
      <c r="FD174" s="21"/>
      <c r="FE174" s="21"/>
      <c r="FF174" s="21"/>
      <c r="FG174" s="21"/>
      <c r="FH174" s="21"/>
      <c r="FI174" s="168">
        <v>8160</v>
      </c>
      <c r="FJ174" s="168">
        <v>23135</v>
      </c>
      <c r="FK174" s="21"/>
      <c r="FL174" s="21"/>
      <c r="FM174" s="168">
        <v>-66953</v>
      </c>
      <c r="FN174" s="168">
        <v>-52312</v>
      </c>
      <c r="FO174" s="168">
        <v>-147859</v>
      </c>
      <c r="FP174" s="168">
        <v>-44049</v>
      </c>
      <c r="FQ174" s="21"/>
      <c r="FR174" s="168">
        <v>-459932</v>
      </c>
      <c r="FS174" s="21"/>
      <c r="FT174" s="21"/>
      <c r="FU174" s="168">
        <v>16676</v>
      </c>
      <c r="FV174" s="168">
        <v>84407</v>
      </c>
      <c r="FW174" s="168">
        <v>-646321</v>
      </c>
      <c r="FX174" s="168">
        <v>-724616</v>
      </c>
      <c r="FY174" s="21"/>
      <c r="FZ174" s="21"/>
      <c r="GA174" s="21"/>
      <c r="GB174" s="21"/>
      <c r="GC174" s="168">
        <v>75129</v>
      </c>
      <c r="GD174" s="168">
        <v>59058</v>
      </c>
      <c r="GE174" s="168">
        <v>147843</v>
      </c>
      <c r="GF174" s="168">
        <v>60438</v>
      </c>
      <c r="GG174" s="21"/>
      <c r="GH174" s="21"/>
      <c r="GI174" s="21"/>
      <c r="GJ174" s="21"/>
      <c r="GK174" s="21"/>
      <c r="GL174" s="21"/>
      <c r="GM174" s="168">
        <v>1436872</v>
      </c>
      <c r="GN174" s="168">
        <v>991683</v>
      </c>
      <c r="GO174" s="21"/>
      <c r="GP174" s="21"/>
      <c r="GQ174" s="21"/>
      <c r="GR174" s="21"/>
      <c r="GS174" s="168">
        <v>1436872</v>
      </c>
      <c r="GT174" s="168">
        <v>991683</v>
      </c>
      <c r="GU174" s="21"/>
      <c r="GV174" s="21"/>
      <c r="GW174" s="21"/>
      <c r="GX174" s="21"/>
      <c r="GY174" s="168">
        <v>-42023157</v>
      </c>
      <c r="GZ174" s="168">
        <v>-40410469</v>
      </c>
      <c r="HA174" s="168">
        <v>-96957</v>
      </c>
      <c r="HB174" s="168">
        <v>-95544</v>
      </c>
      <c r="HC174" s="168">
        <v>-4682393</v>
      </c>
      <c r="HD174" s="168">
        <v>-4675235</v>
      </c>
      <c r="HE174" s="168">
        <v>-5057</v>
      </c>
      <c r="HF174" s="168">
        <v>-7948</v>
      </c>
      <c r="HG174" s="168">
        <v>-446680</v>
      </c>
      <c r="HH174" s="168">
        <v>-455562</v>
      </c>
      <c r="HI174" s="168">
        <v>5389</v>
      </c>
      <c r="HJ174" s="168">
        <v>5115</v>
      </c>
      <c r="HK174" s="21"/>
      <c r="HL174" s="21"/>
      <c r="HM174" s="21"/>
      <c r="HN174" s="21"/>
      <c r="HO174" s="21"/>
      <c r="HP174" s="21"/>
      <c r="HQ174" s="21"/>
      <c r="HR174" s="21"/>
      <c r="HS174" s="21"/>
      <c r="HT174" s="21"/>
      <c r="HU174" s="168">
        <v>-1191170</v>
      </c>
      <c r="HV174" s="168">
        <v>-1186006</v>
      </c>
      <c r="HW174" s="21"/>
      <c r="HX174" s="21"/>
      <c r="HY174" s="168">
        <v>-42329</v>
      </c>
      <c r="HZ174" s="168">
        <v>-120759</v>
      </c>
      <c r="IA174" s="168">
        <v>-130947</v>
      </c>
      <c r="IB174" s="168">
        <v>-160162</v>
      </c>
      <c r="IC174" s="21"/>
      <c r="ID174" s="21"/>
      <c r="IE174" s="168">
        <v>-713482</v>
      </c>
      <c r="IF174" s="168">
        <v>-605559</v>
      </c>
      <c r="IG174" s="21"/>
      <c r="IH174" s="21"/>
      <c r="II174" s="21"/>
      <c r="IJ174" s="21"/>
      <c r="IK174" s="21"/>
      <c r="IL174" s="21"/>
      <c r="IM174" s="21"/>
      <c r="IN174" s="21"/>
      <c r="IO174" s="21"/>
      <c r="IP174" s="21"/>
      <c r="IQ174" s="21"/>
      <c r="IR174" s="21"/>
      <c r="IS174" s="21"/>
      <c r="IT174" s="21"/>
      <c r="IU174" s="21"/>
      <c r="IV174" s="21"/>
      <c r="IW174" s="168">
        <v>2440484</v>
      </c>
      <c r="IX174" s="168">
        <v>2482781</v>
      </c>
      <c r="IY174" s="168">
        <v>-382127</v>
      </c>
      <c r="IZ174" s="168">
        <v>-414092</v>
      </c>
      <c r="JA174" s="168">
        <v>273088</v>
      </c>
      <c r="JB174" s="168">
        <v>339832</v>
      </c>
      <c r="JC174" s="21"/>
      <c r="JD174" s="21"/>
      <c r="JE174" s="21"/>
      <c r="JF174" s="21"/>
      <c r="JG174" s="168">
        <v>31410</v>
      </c>
      <c r="JH174" s="168">
        <v>21873</v>
      </c>
      <c r="JI174" s="21"/>
      <c r="JJ174" s="21"/>
      <c r="JK174" s="21"/>
      <c r="JL174" s="21"/>
      <c r="JM174" s="21"/>
      <c r="JN174" s="21"/>
      <c r="JO174" s="21"/>
      <c r="JP174" s="21"/>
      <c r="JQ174" s="168">
        <v>242911</v>
      </c>
      <c r="JR174" s="168">
        <v>-104601</v>
      </c>
      <c r="JS174" s="168">
        <v>4368</v>
      </c>
      <c r="JT174" s="168">
        <v>-7524</v>
      </c>
      <c r="JU174" s="21"/>
      <c r="JV174" s="21"/>
      <c r="JW174" s="168">
        <v>55402895</v>
      </c>
      <c r="JX174" s="168">
        <v>54262606</v>
      </c>
      <c r="JY174" s="21"/>
      <c r="JZ174" s="21"/>
      <c r="KA174" s="21"/>
      <c r="KB174" s="21"/>
      <c r="KC174" s="21"/>
      <c r="KD174" s="21"/>
      <c r="KE174" s="168">
        <v>669547</v>
      </c>
      <c r="KF174" s="168">
        <v>567643</v>
      </c>
      <c r="KG174" s="21"/>
      <c r="KH174" s="21"/>
      <c r="KI174" s="168">
        <v>54733348</v>
      </c>
      <c r="KJ174" s="168">
        <v>53694963</v>
      </c>
      <c r="KK174" s="21"/>
      <c r="KL174" s="21"/>
      <c r="KM174" s="21"/>
      <c r="KN174" s="21"/>
      <c r="KO174" s="21"/>
      <c r="KP174" s="21"/>
      <c r="KQ174" s="168">
        <v>309172</v>
      </c>
      <c r="KR174" s="168">
        <v>196965</v>
      </c>
      <c r="KS174" s="21"/>
      <c r="KT174" s="21"/>
      <c r="KU174" s="21"/>
      <c r="KV174" s="21"/>
      <c r="KW174" s="21"/>
      <c r="KX174" s="21"/>
      <c r="KY174" s="21"/>
      <c r="KZ174" s="21"/>
      <c r="LA174" s="168">
        <v>40000</v>
      </c>
      <c r="LB174" s="168">
        <v>40000</v>
      </c>
      <c r="LC174" s="21"/>
      <c r="LD174" s="21"/>
      <c r="LE174" s="21"/>
      <c r="LF174" s="21"/>
      <c r="LG174" s="21"/>
      <c r="LH174" s="21"/>
      <c r="LI174" s="168">
        <v>1537170</v>
      </c>
      <c r="LJ174" s="168">
        <v>1716811</v>
      </c>
      <c r="LK174" s="168">
        <v>4343139</v>
      </c>
      <c r="LL174" s="168">
        <v>4285962</v>
      </c>
      <c r="LM174" s="168">
        <v>26160</v>
      </c>
      <c r="LN174" s="21"/>
      <c r="LO174" s="21"/>
      <c r="LP174" s="21"/>
      <c r="LQ174" s="21"/>
      <c r="LR174" s="21"/>
      <c r="LS174" s="21"/>
      <c r="LT174" s="21"/>
      <c r="LU174" s="21"/>
      <c r="LV174" s="21"/>
      <c r="LW174" s="21"/>
      <c r="LX174" s="21"/>
      <c r="LY174" s="21"/>
      <c r="LZ174" s="21"/>
      <c r="MA174" s="168">
        <v>18405295</v>
      </c>
      <c r="MB174" s="168">
        <v>20670665</v>
      </c>
      <c r="MC174" s="168">
        <v>190584</v>
      </c>
      <c r="MD174" s="168">
        <v>188884</v>
      </c>
      <c r="ME174" s="21"/>
      <c r="MF174" s="21"/>
      <c r="MG174" s="168">
        <v>326591</v>
      </c>
      <c r="MH174" s="168">
        <v>343267</v>
      </c>
      <c r="MI174" s="21"/>
      <c r="MJ174" s="21"/>
      <c r="MK174" s="21"/>
      <c r="ML174" s="21"/>
      <c r="MM174" s="21"/>
      <c r="MN174" s="21"/>
      <c r="MO174" s="21"/>
      <c r="MP174" s="21"/>
      <c r="MQ174" s="168">
        <v>25000</v>
      </c>
      <c r="MR174" s="168">
        <v>45000</v>
      </c>
      <c r="MS174" s="21"/>
      <c r="MT174" s="21"/>
      <c r="MU174" s="21"/>
      <c r="MV174" s="21"/>
      <c r="MW174" s="21"/>
      <c r="MX174" s="21"/>
      <c r="MY174" s="21"/>
      <c r="MZ174" s="21"/>
      <c r="NA174" s="21"/>
      <c r="NB174" s="21"/>
      <c r="NC174" s="168">
        <v>1436872</v>
      </c>
      <c r="ND174" s="168">
        <v>991683</v>
      </c>
      <c r="NE174" s="21"/>
      <c r="NF174" s="21"/>
      <c r="NG174" s="168">
        <v>7315399</v>
      </c>
      <c r="NH174" s="168">
        <v>5878528</v>
      </c>
      <c r="NI174" s="21"/>
      <c r="NJ174" s="21"/>
      <c r="NK174" s="21"/>
      <c r="NL174" s="21"/>
      <c r="NM174" s="168">
        <v>24811520</v>
      </c>
      <c r="NN174" s="168">
        <v>27059287</v>
      </c>
      <c r="NO174" s="168">
        <v>32932580</v>
      </c>
      <c r="NP174" s="168">
        <v>33767347</v>
      </c>
      <c r="NQ174" s="168" t="s">
        <v>1259</v>
      </c>
      <c r="NR174" s="168" t="s">
        <v>797</v>
      </c>
      <c r="NS174" s="168" t="s">
        <v>770</v>
      </c>
      <c r="NT174" s="168" t="s">
        <v>771</v>
      </c>
      <c r="NU174" s="168">
        <v>3801</v>
      </c>
      <c r="NV174" s="168" t="s">
        <v>2104</v>
      </c>
      <c r="NW174" s="168" t="s">
        <v>28</v>
      </c>
      <c r="NX174" s="168" t="s">
        <v>25</v>
      </c>
      <c r="NY174" s="169">
        <v>42825</v>
      </c>
      <c r="NZ174" s="169">
        <v>42460</v>
      </c>
      <c r="OA174" s="169">
        <v>43024</v>
      </c>
      <c r="OB174" s="168" t="s">
        <v>1271</v>
      </c>
      <c r="OC174" s="168">
        <v>12</v>
      </c>
      <c r="OD174" s="168" t="s">
        <v>2106</v>
      </c>
      <c r="OE174" s="168" t="s">
        <v>1272</v>
      </c>
      <c r="OF174" s="168" t="s">
        <v>2417</v>
      </c>
      <c r="OG174" s="168" t="s">
        <v>1945</v>
      </c>
      <c r="OH174" s="168" t="s">
        <v>833</v>
      </c>
      <c r="OI174" s="168" t="s">
        <v>766</v>
      </c>
      <c r="OJ174" s="168" t="s">
        <v>3240</v>
      </c>
      <c r="OK174" s="168" t="s">
        <v>796</v>
      </c>
    </row>
    <row r="175" spans="1:401" x14ac:dyDescent="0.2">
      <c r="A175" s="170" t="str">
        <f>Liste[[#This Row],[Siren]]</f>
        <v>377619150</v>
      </c>
      <c r="B175" s="198" t="str">
        <f>Liste[[#This Row],[Dénomination]]&amp;" - comptes "&amp;YEAR(Liste[[#This Row],[Date de cloture de l''exercice]])</f>
        <v>SA GENERIX - comptes 2017</v>
      </c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168">
        <v>33096000</v>
      </c>
      <c r="BE175" s="168">
        <v>317431000</v>
      </c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168">
        <v>38718000</v>
      </c>
      <c r="EI175" s="168">
        <v>34721000</v>
      </c>
      <c r="EJ175" s="21"/>
      <c r="EK175" s="21"/>
      <c r="EL175" s="168">
        <v>53438000</v>
      </c>
      <c r="EM175" s="168">
        <v>45846000</v>
      </c>
      <c r="EN175" s="21"/>
      <c r="EO175" s="21"/>
      <c r="EP175" s="168">
        <v>40044000</v>
      </c>
      <c r="EQ175" s="168">
        <v>37218000</v>
      </c>
      <c r="ER175" s="21"/>
      <c r="ES175" s="21"/>
      <c r="ET175" s="168">
        <v>93482000</v>
      </c>
      <c r="EU175" s="168">
        <v>83064000</v>
      </c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  <c r="FQ175" s="21"/>
      <c r="FR175" s="21"/>
      <c r="FS175" s="21"/>
      <c r="FT175" s="21"/>
      <c r="FU175" s="21"/>
      <c r="FV175" s="21"/>
      <c r="FW175" s="21"/>
      <c r="FX175" s="21"/>
      <c r="FY175" s="21"/>
      <c r="FZ175" s="21"/>
      <c r="GA175" s="21"/>
      <c r="GB175" s="21"/>
      <c r="GC175" s="21"/>
      <c r="GD175" s="21"/>
      <c r="GE175" s="21"/>
      <c r="GF175" s="21"/>
      <c r="GG175" s="21"/>
      <c r="GH175" s="21"/>
      <c r="GI175" s="21"/>
      <c r="GJ175" s="21"/>
      <c r="GK175" s="21"/>
      <c r="GL175" s="21"/>
      <c r="GM175" s="168">
        <v>45000</v>
      </c>
      <c r="GN175" s="168">
        <v>1307000</v>
      </c>
      <c r="GO175" s="21"/>
      <c r="GP175" s="21"/>
      <c r="GQ175" s="21"/>
      <c r="GR175" s="21"/>
      <c r="GS175" s="168">
        <v>-181000</v>
      </c>
      <c r="GT175" s="168">
        <v>1240000</v>
      </c>
      <c r="GU175" s="21"/>
      <c r="GV175" s="21"/>
      <c r="GW175" s="21"/>
      <c r="GX175" s="21"/>
      <c r="GY175" s="21"/>
      <c r="GZ175" s="21"/>
      <c r="HA175" s="21"/>
      <c r="HB175" s="21"/>
      <c r="HC175" s="168">
        <v>-26616000</v>
      </c>
      <c r="HD175" s="168">
        <v>-19175000</v>
      </c>
      <c r="HE175" s="168">
        <v>-603000</v>
      </c>
      <c r="HF175" s="168">
        <v>-769000</v>
      </c>
      <c r="HG175" s="21"/>
      <c r="HH175" s="21"/>
      <c r="HI175" s="21"/>
      <c r="HJ175" s="21"/>
      <c r="HK175" s="21"/>
      <c r="HL175" s="21"/>
      <c r="HM175" s="21"/>
      <c r="HN175" s="21"/>
      <c r="HO175" s="21"/>
      <c r="HP175" s="21"/>
      <c r="HQ175" s="21"/>
      <c r="HR175" s="21"/>
      <c r="HS175" s="21"/>
      <c r="HT175" s="21"/>
      <c r="HU175" s="21"/>
      <c r="HV175" s="21"/>
      <c r="HW175" s="21"/>
      <c r="HX175" s="21"/>
      <c r="HY175" s="21"/>
      <c r="HZ175" s="21"/>
      <c r="IA175" s="21"/>
      <c r="IB175" s="21"/>
      <c r="IC175" s="21"/>
      <c r="ID175" s="21"/>
      <c r="IE175" s="168">
        <v>-1721000</v>
      </c>
      <c r="IF175" s="168">
        <v>-1555000</v>
      </c>
      <c r="IG175" s="21"/>
      <c r="IH175" s="21"/>
      <c r="II175" s="21"/>
      <c r="IJ175" s="21"/>
      <c r="IK175" s="21"/>
      <c r="IL175" s="21"/>
      <c r="IM175" s="21"/>
      <c r="IN175" s="21"/>
      <c r="IO175" s="21"/>
      <c r="IP175" s="21"/>
      <c r="IQ175" s="21"/>
      <c r="IR175" s="21"/>
      <c r="IS175" s="21"/>
      <c r="IT175" s="21"/>
      <c r="IU175" s="168">
        <v>1127000</v>
      </c>
      <c r="IV175" s="168">
        <v>2044000</v>
      </c>
      <c r="IW175" s="168">
        <v>-2033000</v>
      </c>
      <c r="IX175" s="168">
        <v>3346000</v>
      </c>
      <c r="IY175" s="168">
        <v>-341000</v>
      </c>
      <c r="IZ175" s="168">
        <v>-245000</v>
      </c>
      <c r="JA175" s="21"/>
      <c r="JB175" s="21"/>
      <c r="JC175" s="21"/>
      <c r="JD175" s="21"/>
      <c r="JE175" s="168">
        <v>-36074000</v>
      </c>
      <c r="JF175" s="168">
        <v>-32443000</v>
      </c>
      <c r="JG175" s="21"/>
      <c r="JH175" s="21"/>
      <c r="JI175" s="168">
        <v>-62624000</v>
      </c>
      <c r="JJ175" s="168">
        <v>-56418000</v>
      </c>
      <c r="JK175" s="21"/>
      <c r="JL175" s="21"/>
      <c r="JM175" s="21"/>
      <c r="JN175" s="21"/>
      <c r="JO175" s="21"/>
      <c r="JP175" s="21"/>
      <c r="JQ175" s="21"/>
      <c r="JR175" s="21"/>
      <c r="JS175" s="21"/>
      <c r="JT175" s="21"/>
      <c r="JU175" s="21"/>
      <c r="JV175" s="21"/>
      <c r="JW175" s="168">
        <v>63003000</v>
      </c>
      <c r="JX175" s="168">
        <v>58385000</v>
      </c>
      <c r="JY175" s="21"/>
      <c r="JZ175" s="21"/>
      <c r="KA175" s="21"/>
      <c r="KB175" s="21"/>
      <c r="KC175" s="21"/>
      <c r="KD175" s="21"/>
      <c r="KE175" s="21"/>
      <c r="KF175" s="21"/>
      <c r="KG175" s="21"/>
      <c r="KH175" s="21"/>
      <c r="KI175" s="21"/>
      <c r="KJ175" s="21"/>
      <c r="KK175" s="21"/>
      <c r="KL175" s="21"/>
      <c r="KM175" s="21"/>
      <c r="KN175" s="21"/>
      <c r="KO175" s="21"/>
      <c r="KP175" s="21"/>
      <c r="KQ175" s="21"/>
      <c r="KR175" s="21"/>
      <c r="KS175" s="21"/>
      <c r="KT175" s="21"/>
      <c r="KU175" s="21"/>
      <c r="KV175" s="21"/>
      <c r="KW175" s="21"/>
      <c r="KX175" s="21"/>
      <c r="KY175" s="21"/>
      <c r="KZ175" s="21"/>
      <c r="LA175" s="168">
        <v>11084000</v>
      </c>
      <c r="LB175" s="168">
        <v>11084000</v>
      </c>
      <c r="LC175" s="21"/>
      <c r="LD175" s="21"/>
      <c r="LE175" s="21"/>
      <c r="LF175" s="21"/>
      <c r="LG175" s="21"/>
      <c r="LH175" s="21"/>
      <c r="LI175" s="21"/>
      <c r="LJ175" s="21"/>
      <c r="LK175" s="168">
        <v>22689000</v>
      </c>
      <c r="LL175" s="168">
        <v>20924000</v>
      </c>
      <c r="LM175" s="21"/>
      <c r="LN175" s="21"/>
      <c r="LO175" s="21"/>
      <c r="LP175" s="21"/>
      <c r="LQ175" s="21"/>
      <c r="LR175" s="21"/>
      <c r="LS175" s="21"/>
      <c r="LT175" s="21"/>
      <c r="LU175" s="21"/>
      <c r="LV175" s="21"/>
      <c r="LW175" s="21"/>
      <c r="LX175" s="21"/>
      <c r="LY175" s="21"/>
      <c r="LZ175" s="21"/>
      <c r="MA175" s="21"/>
      <c r="MB175" s="21"/>
      <c r="MC175" s="168">
        <v>13162000</v>
      </c>
      <c r="MD175" s="168">
        <v>7861000</v>
      </c>
      <c r="ME175" s="21"/>
      <c r="MF175" s="21"/>
      <c r="MG175" s="21"/>
      <c r="MH175" s="21"/>
      <c r="MI175" s="168">
        <v>23987000</v>
      </c>
      <c r="MJ175" s="168">
        <v>23987000</v>
      </c>
      <c r="MK175" s="21"/>
      <c r="ML175" s="21"/>
      <c r="MM175" s="168">
        <v>14478000</v>
      </c>
      <c r="MN175" s="168">
        <v>14830000</v>
      </c>
      <c r="MO175" s="21"/>
      <c r="MP175" s="21"/>
      <c r="MQ175" s="21"/>
      <c r="MR175" s="21"/>
      <c r="MS175" s="21"/>
      <c r="MT175" s="21"/>
      <c r="MU175" s="21"/>
      <c r="MV175" s="21"/>
      <c r="MW175" s="21"/>
      <c r="MX175" s="21"/>
      <c r="MY175" s="21"/>
      <c r="MZ175" s="21"/>
      <c r="NA175" s="21"/>
      <c r="NB175" s="21"/>
      <c r="NC175" s="168">
        <v>-181000</v>
      </c>
      <c r="ND175" s="168">
        <v>1240000</v>
      </c>
      <c r="NE175" s="21"/>
      <c r="NF175" s="21"/>
      <c r="NG175" s="168">
        <v>35434000</v>
      </c>
      <c r="NH175" s="168">
        <v>35628000</v>
      </c>
      <c r="NI175" s="21"/>
      <c r="NJ175" s="21"/>
      <c r="NK175" s="168">
        <v>3799000</v>
      </c>
      <c r="NL175" s="168">
        <v>347000</v>
      </c>
      <c r="NM175" s="168">
        <v>54248000</v>
      </c>
      <c r="NN175" s="168">
        <v>47089000</v>
      </c>
      <c r="NO175" s="168">
        <v>93482000</v>
      </c>
      <c r="NP175" s="168">
        <v>83064000</v>
      </c>
      <c r="NQ175" s="168" t="s">
        <v>1279</v>
      </c>
      <c r="NR175" s="168" t="s">
        <v>936</v>
      </c>
      <c r="NS175" s="168" t="s">
        <v>770</v>
      </c>
      <c r="NT175" s="168" t="s">
        <v>771</v>
      </c>
      <c r="NU175" s="168">
        <v>5910</v>
      </c>
      <c r="NV175" s="168" t="s">
        <v>2104</v>
      </c>
      <c r="NW175" s="168" t="s">
        <v>28</v>
      </c>
      <c r="NX175" s="168" t="s">
        <v>25</v>
      </c>
      <c r="NY175" s="169">
        <v>42825</v>
      </c>
      <c r="NZ175" s="169">
        <v>42460</v>
      </c>
      <c r="OA175" s="169">
        <v>43067</v>
      </c>
      <c r="OB175" s="168" t="s">
        <v>1280</v>
      </c>
      <c r="OC175" s="168">
        <v>12</v>
      </c>
      <c r="OD175" s="168" t="s">
        <v>2105</v>
      </c>
      <c r="OE175" s="168" t="s">
        <v>2424</v>
      </c>
      <c r="OF175" s="168" t="s">
        <v>2425</v>
      </c>
      <c r="OG175" s="168" t="s">
        <v>1950</v>
      </c>
      <c r="OH175" s="168" t="s">
        <v>907</v>
      </c>
      <c r="OI175" s="168" t="s">
        <v>766</v>
      </c>
      <c r="OJ175" s="168" t="s">
        <v>3240</v>
      </c>
      <c r="OK175" s="168" t="s">
        <v>935</v>
      </c>
    </row>
    <row r="176" spans="1:401" x14ac:dyDescent="0.2">
      <c r="A176" s="170" t="str">
        <f>Liste[[#This Row],[Siren]]</f>
        <v>502010978</v>
      </c>
      <c r="B176" s="198" t="str">
        <f>Liste[[#This Row],[Dénomination]]&amp;" - comptes "&amp;YEAR(Liste[[#This Row],[Date de cloture de l''exercice]])</f>
        <v>SOGREBAT INVESTISSEMENT - comptes 2017</v>
      </c>
      <c r="C176" s="21"/>
      <c r="D176" s="21"/>
      <c r="E176" s="21"/>
      <c r="F176" s="168">
        <v>3491</v>
      </c>
      <c r="G176" s="168">
        <v>3988</v>
      </c>
      <c r="H176" s="21"/>
      <c r="I176" s="21"/>
      <c r="J176" s="21"/>
      <c r="K176" s="21"/>
      <c r="L176" s="21"/>
      <c r="M176" s="21"/>
      <c r="N176" s="168">
        <v>83</v>
      </c>
      <c r="O176" s="168">
        <v>83</v>
      </c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168">
        <v>106</v>
      </c>
      <c r="BA176" s="168">
        <v>65</v>
      </c>
      <c r="BB176" s="21"/>
      <c r="BC176" s="21"/>
      <c r="BD176" s="168">
        <v>14184</v>
      </c>
      <c r="BE176" s="168">
        <v>14047</v>
      </c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168">
        <v>2927</v>
      </c>
      <c r="BY176" s="168">
        <v>3054</v>
      </c>
      <c r="BZ176" s="21"/>
      <c r="CA176" s="21"/>
      <c r="CB176" s="21"/>
      <c r="CC176" s="21"/>
      <c r="CD176" s="21"/>
      <c r="CE176" s="168">
        <v>57</v>
      </c>
      <c r="CF176" s="168">
        <v>68</v>
      </c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168">
        <v>9832</v>
      </c>
      <c r="EM176" s="168">
        <v>9686</v>
      </c>
      <c r="EN176" s="21"/>
      <c r="EO176" s="21"/>
      <c r="EP176" s="168">
        <v>21505</v>
      </c>
      <c r="EQ176" s="168">
        <v>21811</v>
      </c>
      <c r="ER176" s="21"/>
      <c r="ES176" s="21"/>
      <c r="ET176" s="168">
        <v>31337</v>
      </c>
      <c r="EU176" s="168">
        <v>31497</v>
      </c>
      <c r="EV176" s="21"/>
      <c r="EW176" s="21"/>
      <c r="EX176" s="21"/>
      <c r="EY176" s="21"/>
      <c r="EZ176" s="21"/>
      <c r="FA176" s="21"/>
      <c r="FB176" s="168">
        <v>2185</v>
      </c>
      <c r="FC176" s="168">
        <v>2117</v>
      </c>
      <c r="FD176" s="21"/>
      <c r="FE176" s="21"/>
      <c r="FF176" s="21"/>
      <c r="FG176" s="21"/>
      <c r="FH176" s="21"/>
      <c r="FI176" s="168">
        <v>-243</v>
      </c>
      <c r="FJ176" s="168">
        <v>79</v>
      </c>
      <c r="FK176" s="21"/>
      <c r="FL176" s="21"/>
      <c r="FM176" s="21"/>
      <c r="FN176" s="21"/>
      <c r="FO176" s="21"/>
      <c r="FP176" s="21"/>
      <c r="FQ176" s="168">
        <v>-11</v>
      </c>
      <c r="FR176" s="168">
        <v>-11</v>
      </c>
      <c r="FS176" s="21"/>
      <c r="FT176" s="21"/>
      <c r="FU176" s="21"/>
      <c r="FV176" s="21"/>
      <c r="FW176" s="168">
        <v>443</v>
      </c>
      <c r="FX176" s="168">
        <v>594</v>
      </c>
      <c r="FY176" s="168">
        <v>-39</v>
      </c>
      <c r="FZ176" s="168">
        <v>-66</v>
      </c>
      <c r="GA176" s="21"/>
      <c r="GB176" s="21"/>
      <c r="GC176" s="21"/>
      <c r="GD176" s="21"/>
      <c r="GE176" s="21"/>
      <c r="GF176" s="21"/>
      <c r="GG176" s="21"/>
      <c r="GH176" s="21"/>
      <c r="GI176" s="21"/>
      <c r="GJ176" s="21"/>
      <c r="GK176" s="21"/>
      <c r="GL176" s="21"/>
      <c r="GM176" s="168">
        <v>1192</v>
      </c>
      <c r="GN176" s="168">
        <v>1551</v>
      </c>
      <c r="GO176" s="21"/>
      <c r="GP176" s="21"/>
      <c r="GQ176" s="168">
        <v>78</v>
      </c>
      <c r="GR176" s="168">
        <v>139</v>
      </c>
      <c r="GS176" s="168">
        <v>1153</v>
      </c>
      <c r="GT176" s="168">
        <v>1485</v>
      </c>
      <c r="GU176" s="168">
        <v>-331</v>
      </c>
      <c r="GV176" s="168">
        <v>275</v>
      </c>
      <c r="GW176" s="168">
        <v>88</v>
      </c>
      <c r="GX176" s="168">
        <v>196</v>
      </c>
      <c r="GY176" s="21"/>
      <c r="GZ176" s="21"/>
      <c r="HA176" s="21"/>
      <c r="HB176" s="21"/>
      <c r="HC176" s="168">
        <v>11206</v>
      </c>
      <c r="HD176" s="168">
        <v>12151</v>
      </c>
      <c r="HE176" s="21"/>
      <c r="HF176" s="21"/>
      <c r="HG176" s="21"/>
      <c r="HH176" s="21"/>
      <c r="HI176" s="168">
        <v>871</v>
      </c>
      <c r="HJ176" s="168">
        <v>817</v>
      </c>
      <c r="HK176" s="21"/>
      <c r="HL176" s="21"/>
      <c r="HM176" s="21"/>
      <c r="HN176" s="21"/>
      <c r="HO176" s="21"/>
      <c r="HP176" s="21"/>
      <c r="HQ176" s="21"/>
      <c r="HR176" s="21"/>
      <c r="HS176" s="21"/>
      <c r="HT176" s="21"/>
      <c r="HU176" s="21"/>
      <c r="HV176" s="21"/>
      <c r="HW176" s="21"/>
      <c r="HX176" s="21"/>
      <c r="HY176" s="21"/>
      <c r="HZ176" s="21"/>
      <c r="IA176" s="21"/>
      <c r="IB176" s="21"/>
      <c r="IC176" s="21"/>
      <c r="ID176" s="21"/>
      <c r="IE176" s="168">
        <v>419</v>
      </c>
      <c r="IF176" s="168">
        <v>438</v>
      </c>
      <c r="IG176" s="21"/>
      <c r="IH176" s="21"/>
      <c r="II176" s="21"/>
      <c r="IJ176" s="21"/>
      <c r="IK176" s="21"/>
      <c r="IL176" s="21"/>
      <c r="IM176" s="168">
        <v>166</v>
      </c>
      <c r="IN176" s="168">
        <v>112</v>
      </c>
      <c r="IO176" s="21"/>
      <c r="IP176" s="21"/>
      <c r="IQ176" s="21"/>
      <c r="IR176" s="21"/>
      <c r="IS176" s="21"/>
      <c r="IT176" s="21"/>
      <c r="IU176" s="168">
        <v>1557</v>
      </c>
      <c r="IV176" s="168">
        <v>2006</v>
      </c>
      <c r="IW176" s="168">
        <v>1998</v>
      </c>
      <c r="IX176" s="168">
        <v>2139</v>
      </c>
      <c r="IY176" s="168">
        <v>-187</v>
      </c>
      <c r="IZ176" s="168">
        <v>-43</v>
      </c>
      <c r="JA176" s="21"/>
      <c r="JB176" s="21"/>
      <c r="JC176" s="21"/>
      <c r="JD176" s="21"/>
      <c r="JE176" s="168">
        <v>6701</v>
      </c>
      <c r="JF176" s="168">
        <v>6250</v>
      </c>
      <c r="JG176" s="21"/>
      <c r="JH176" s="21"/>
      <c r="JI176" s="168">
        <v>36175</v>
      </c>
      <c r="JJ176" s="168">
        <v>37804</v>
      </c>
      <c r="JK176" s="168">
        <v>-233</v>
      </c>
      <c r="JL176" s="168">
        <v>-142</v>
      </c>
      <c r="JM176" s="168">
        <v>37302</v>
      </c>
      <c r="JN176" s="168">
        <v>39116</v>
      </c>
      <c r="JO176" s="168">
        <v>46</v>
      </c>
      <c r="JP176" s="168">
        <v>99</v>
      </c>
      <c r="JQ176" s="21"/>
      <c r="JR176" s="21"/>
      <c r="JS176" s="21"/>
      <c r="JT176" s="21"/>
      <c r="JU176" s="21"/>
      <c r="JV176" s="21"/>
      <c r="JW176" s="168">
        <v>37136</v>
      </c>
      <c r="JX176" s="168">
        <v>39014</v>
      </c>
      <c r="JY176" s="21"/>
      <c r="JZ176" s="21"/>
      <c r="KA176" s="21"/>
      <c r="KB176" s="21"/>
      <c r="KC176" s="21"/>
      <c r="KD176" s="21"/>
      <c r="KE176" s="21"/>
      <c r="KF176" s="21"/>
      <c r="KG176" s="21"/>
      <c r="KH176" s="21"/>
      <c r="KI176" s="21"/>
      <c r="KJ176" s="21"/>
      <c r="KK176" s="21"/>
      <c r="KL176" s="21"/>
      <c r="KM176" s="21"/>
      <c r="KN176" s="21"/>
      <c r="KO176" s="21"/>
      <c r="KP176" s="21"/>
      <c r="KQ176" s="21"/>
      <c r="KR176" s="21"/>
      <c r="KS176" s="21"/>
      <c r="KT176" s="21"/>
      <c r="KU176" s="21"/>
      <c r="KV176" s="21"/>
      <c r="KW176" s="21"/>
      <c r="KX176" s="21"/>
      <c r="KY176" s="21"/>
      <c r="KZ176" s="21"/>
      <c r="LA176" s="168">
        <v>2000</v>
      </c>
      <c r="LB176" s="168">
        <v>2000</v>
      </c>
      <c r="LC176" s="21"/>
      <c r="LD176" s="21"/>
      <c r="LE176" s="21"/>
      <c r="LF176" s="21"/>
      <c r="LG176" s="21"/>
      <c r="LH176" s="21"/>
      <c r="LI176" s="21"/>
      <c r="LJ176" s="21"/>
      <c r="LK176" s="168">
        <v>7325</v>
      </c>
      <c r="LL176" s="168">
        <v>7617</v>
      </c>
      <c r="LM176" s="21"/>
      <c r="LN176" s="21"/>
      <c r="LO176" s="21"/>
      <c r="LP176" s="21"/>
      <c r="LQ176" s="21"/>
      <c r="LR176" s="21"/>
      <c r="LS176" s="21"/>
      <c r="LT176" s="21"/>
      <c r="LU176" s="21"/>
      <c r="LV176" s="21"/>
      <c r="LW176" s="21"/>
      <c r="LX176" s="21"/>
      <c r="LY176" s="21"/>
      <c r="LZ176" s="21"/>
      <c r="MA176" s="21"/>
      <c r="MB176" s="21"/>
      <c r="MC176" s="21"/>
      <c r="MD176" s="21"/>
      <c r="ME176" s="21"/>
      <c r="MF176" s="21"/>
      <c r="MG176" s="21"/>
      <c r="MH176" s="21"/>
      <c r="MI176" s="21"/>
      <c r="MJ176" s="21"/>
      <c r="MK176" s="21"/>
      <c r="ML176" s="21"/>
      <c r="MM176" s="21"/>
      <c r="MN176" s="21"/>
      <c r="MO176" s="21"/>
      <c r="MP176" s="21"/>
      <c r="MQ176" s="21"/>
      <c r="MR176" s="21"/>
      <c r="MS176" s="21"/>
      <c r="MT176" s="21"/>
      <c r="MU176" s="21"/>
      <c r="MV176" s="21"/>
      <c r="MW176" s="21"/>
      <c r="MX176" s="21"/>
      <c r="MY176" s="21"/>
      <c r="MZ176" s="21"/>
      <c r="NA176" s="21"/>
      <c r="NB176" s="21"/>
      <c r="NC176" s="168">
        <v>1152</v>
      </c>
      <c r="ND176" s="168">
        <v>1485</v>
      </c>
      <c r="NE176" s="21"/>
      <c r="NF176" s="21"/>
      <c r="NG176" s="168">
        <v>12297</v>
      </c>
      <c r="NH176" s="168">
        <v>11418</v>
      </c>
      <c r="NI176" s="21"/>
      <c r="NJ176" s="21"/>
      <c r="NK176" s="168">
        <v>892</v>
      </c>
      <c r="NL176" s="168">
        <v>852</v>
      </c>
      <c r="NM176" s="168">
        <v>13234</v>
      </c>
      <c r="NN176" s="168">
        <v>13806</v>
      </c>
      <c r="NO176" s="168">
        <v>31337</v>
      </c>
      <c r="NP176" s="168">
        <v>31497</v>
      </c>
      <c r="NQ176" s="168" t="s">
        <v>3333</v>
      </c>
      <c r="NR176" s="168" t="s">
        <v>769</v>
      </c>
      <c r="NS176" s="168" t="s">
        <v>770</v>
      </c>
      <c r="NT176" s="168" t="s">
        <v>771</v>
      </c>
      <c r="NU176" s="168">
        <v>3801</v>
      </c>
      <c r="NV176" s="168" t="s">
        <v>2104</v>
      </c>
      <c r="NW176" s="168" t="s">
        <v>28</v>
      </c>
      <c r="NX176" s="168" t="s">
        <v>25</v>
      </c>
      <c r="NY176" s="169">
        <v>42825</v>
      </c>
      <c r="NZ176" s="169">
        <v>42460</v>
      </c>
      <c r="OA176" s="169">
        <v>43118</v>
      </c>
      <c r="OB176" s="168" t="s">
        <v>3334</v>
      </c>
      <c r="OC176" s="168">
        <v>12</v>
      </c>
      <c r="OD176" s="168" t="s">
        <v>2105</v>
      </c>
      <c r="OE176" s="168" t="s">
        <v>3335</v>
      </c>
      <c r="OF176" s="168" t="s">
        <v>3336</v>
      </c>
      <c r="OG176" s="168" t="s">
        <v>3337</v>
      </c>
      <c r="OH176" s="168" t="s">
        <v>833</v>
      </c>
      <c r="OI176" s="168" t="s">
        <v>766</v>
      </c>
      <c r="OJ176" s="168" t="s">
        <v>3240</v>
      </c>
      <c r="OK176" s="168" t="s">
        <v>767</v>
      </c>
    </row>
    <row r="177" spans="1:401" x14ac:dyDescent="0.2">
      <c r="A177" s="170" t="str">
        <f>Liste[[#This Row],[Siren]]</f>
        <v>381178797</v>
      </c>
      <c r="B177" s="198" t="str">
        <f>Liste[[#This Row],[Dénomination]]&amp;" - comptes "&amp;YEAR(Liste[[#This Row],[Date de cloture de l''exercice]])</f>
        <v>CESAR - comptes 2017</v>
      </c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168">
        <v>178000</v>
      </c>
      <c r="EM177" s="168">
        <v>190000</v>
      </c>
      <c r="EN177" s="21"/>
      <c r="EO177" s="21"/>
      <c r="EP177" s="168">
        <v>5437000</v>
      </c>
      <c r="EQ177" s="168">
        <v>5838000</v>
      </c>
      <c r="ER177" s="21"/>
      <c r="ES177" s="21"/>
      <c r="ET177" s="168">
        <v>5615000</v>
      </c>
      <c r="EU177" s="168">
        <v>6028000</v>
      </c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  <c r="FQ177" s="21"/>
      <c r="FR177" s="21"/>
      <c r="FS177" s="21"/>
      <c r="FT177" s="21"/>
      <c r="FU177" s="21"/>
      <c r="FV177" s="21"/>
      <c r="FW177" s="21"/>
      <c r="FX177" s="21"/>
      <c r="FY177" s="21"/>
      <c r="FZ177" s="21"/>
      <c r="GA177" s="21"/>
      <c r="GB177" s="21"/>
      <c r="GC177" s="21"/>
      <c r="GD177" s="21"/>
      <c r="GE177" s="21"/>
      <c r="GF177" s="21"/>
      <c r="GG177" s="21"/>
      <c r="GH177" s="21"/>
      <c r="GI177" s="21"/>
      <c r="GJ177" s="21"/>
      <c r="GK177" s="21"/>
      <c r="GL177" s="21"/>
      <c r="GM177" s="21"/>
      <c r="GN177" s="21"/>
      <c r="GO177" s="21"/>
      <c r="GP177" s="21"/>
      <c r="GQ177" s="21"/>
      <c r="GR177" s="21"/>
      <c r="GS177" s="168">
        <v>-318000</v>
      </c>
      <c r="GT177" s="168">
        <v>1327000</v>
      </c>
      <c r="GU177" s="21"/>
      <c r="GV177" s="21"/>
      <c r="GW177" s="21"/>
      <c r="GX177" s="21"/>
      <c r="GY177" s="21"/>
      <c r="GZ177" s="21"/>
      <c r="HA177" s="21"/>
      <c r="HB177" s="21"/>
      <c r="HC177" s="21"/>
      <c r="HD177" s="21"/>
      <c r="HE177" s="168">
        <v>-40000</v>
      </c>
      <c r="HF177" s="168">
        <v>-1101000</v>
      </c>
      <c r="HG177" s="21"/>
      <c r="HH177" s="21"/>
      <c r="HI177" s="21"/>
      <c r="HJ177" s="21"/>
      <c r="HK177" s="21"/>
      <c r="HL177" s="21"/>
      <c r="HM177" s="21"/>
      <c r="HN177" s="21"/>
      <c r="HO177" s="21"/>
      <c r="HP177" s="21"/>
      <c r="HQ177" s="21"/>
      <c r="HR177" s="21"/>
      <c r="HS177" s="21"/>
      <c r="HT177" s="21"/>
      <c r="HU177" s="168">
        <v>622000</v>
      </c>
      <c r="HV177" s="168">
        <v>1177000</v>
      </c>
      <c r="HW177" s="21"/>
      <c r="HX177" s="21"/>
      <c r="HY177" s="21"/>
      <c r="HZ177" s="21"/>
      <c r="IA177" s="21"/>
      <c r="IB177" s="21"/>
      <c r="IC177" s="21"/>
      <c r="ID177" s="21"/>
      <c r="IE177" s="168">
        <v>-96000</v>
      </c>
      <c r="IF177" s="168">
        <v>-97000</v>
      </c>
      <c r="IG177" s="21"/>
      <c r="IH177" s="21"/>
      <c r="II177" s="21"/>
      <c r="IJ177" s="21"/>
      <c r="IK177" s="21"/>
      <c r="IL177" s="21"/>
      <c r="IM177" s="21"/>
      <c r="IN177" s="21"/>
      <c r="IO177" s="21"/>
      <c r="IP177" s="21"/>
      <c r="IQ177" s="21"/>
      <c r="IR177" s="21"/>
      <c r="IS177" s="21"/>
      <c r="IT177" s="21"/>
      <c r="IU177" s="21"/>
      <c r="IV177" s="21"/>
      <c r="IW177" s="21"/>
      <c r="IX177" s="21"/>
      <c r="IY177" s="21"/>
      <c r="IZ177" s="21"/>
      <c r="JA177" s="21"/>
      <c r="JB177" s="21"/>
      <c r="JC177" s="21"/>
      <c r="JD177" s="21"/>
      <c r="JE177" s="21"/>
      <c r="JF177" s="21"/>
      <c r="JG177" s="21"/>
      <c r="JH177" s="21"/>
      <c r="JI177" s="21"/>
      <c r="JJ177" s="21"/>
      <c r="JK177" s="21"/>
      <c r="JL177" s="21"/>
      <c r="JM177" s="21"/>
      <c r="JN177" s="21"/>
      <c r="JO177" s="21"/>
      <c r="JP177" s="21"/>
      <c r="JQ177" s="21"/>
      <c r="JR177" s="21"/>
      <c r="JS177" s="21"/>
      <c r="JT177" s="21"/>
      <c r="JU177" s="21"/>
      <c r="JV177" s="21"/>
      <c r="JW177" s="168">
        <v>2284000</v>
      </c>
      <c r="JX177" s="168">
        <v>1973000</v>
      </c>
      <c r="JY177" s="21"/>
      <c r="JZ177" s="21"/>
      <c r="KA177" s="21"/>
      <c r="KB177" s="21"/>
      <c r="KC177" s="21"/>
      <c r="KD177" s="21"/>
      <c r="KE177" s="21"/>
      <c r="KF177" s="21"/>
      <c r="KG177" s="21"/>
      <c r="KH177" s="21"/>
      <c r="KI177" s="21"/>
      <c r="KJ177" s="21"/>
      <c r="KK177" s="21"/>
      <c r="KL177" s="21"/>
      <c r="KM177" s="21"/>
      <c r="KN177" s="21"/>
      <c r="KO177" s="21"/>
      <c r="KP177" s="21"/>
      <c r="KQ177" s="21"/>
      <c r="KR177" s="21"/>
      <c r="KS177" s="21"/>
      <c r="KT177" s="21"/>
      <c r="KU177" s="21"/>
      <c r="KV177" s="21"/>
      <c r="KW177" s="21"/>
      <c r="KX177" s="21"/>
      <c r="KY177" s="21"/>
      <c r="KZ177" s="21"/>
      <c r="LA177" s="168">
        <v>8632000</v>
      </c>
      <c r="LB177" s="168">
        <v>8632000</v>
      </c>
      <c r="LC177" s="21"/>
      <c r="LD177" s="21"/>
      <c r="LE177" s="21"/>
      <c r="LF177" s="21"/>
      <c r="LG177" s="21"/>
      <c r="LH177" s="21"/>
      <c r="LI177" s="21"/>
      <c r="LJ177" s="21"/>
      <c r="LK177" s="168">
        <v>418000</v>
      </c>
      <c r="LL177" s="168">
        <v>687000</v>
      </c>
      <c r="LM177" s="21"/>
      <c r="LN177" s="21"/>
      <c r="LO177" s="21"/>
      <c r="LP177" s="21"/>
      <c r="LQ177" s="21"/>
      <c r="LR177" s="21"/>
      <c r="LS177" s="21"/>
      <c r="LT177" s="21"/>
      <c r="LU177" s="21"/>
      <c r="LV177" s="21"/>
      <c r="LW177" s="21"/>
      <c r="LX177" s="21"/>
      <c r="LY177" s="21"/>
      <c r="LZ177" s="21"/>
      <c r="MA177" s="21"/>
      <c r="MB177" s="21"/>
      <c r="MC177" s="21"/>
      <c r="MD177" s="21"/>
      <c r="ME177" s="21"/>
      <c r="MF177" s="21"/>
      <c r="MG177" s="21"/>
      <c r="MH177" s="21"/>
      <c r="MI177" s="168">
        <v>51520000</v>
      </c>
      <c r="MJ177" s="168">
        <v>51520000</v>
      </c>
      <c r="MK177" s="21"/>
      <c r="ML177" s="21"/>
      <c r="MM177" s="21"/>
      <c r="MN177" s="21"/>
      <c r="MO177" s="21"/>
      <c r="MP177" s="21"/>
      <c r="MQ177" s="21"/>
      <c r="MR177" s="21"/>
      <c r="MS177" s="21"/>
      <c r="MT177" s="21"/>
      <c r="MU177" s="21"/>
      <c r="MV177" s="21"/>
      <c r="MW177" s="168">
        <v>1623000</v>
      </c>
      <c r="MX177" s="168">
        <v>1037000</v>
      </c>
      <c r="MY177" s="21"/>
      <c r="MZ177" s="21"/>
      <c r="NA177" s="21"/>
      <c r="NB177" s="21"/>
      <c r="NC177" s="168">
        <v>-318000</v>
      </c>
      <c r="ND177" s="168">
        <v>1326000</v>
      </c>
      <c r="NE177" s="21"/>
      <c r="NF177" s="21"/>
      <c r="NG177" s="168">
        <v>-2229000</v>
      </c>
      <c r="NH177" s="168">
        <v>-1910000</v>
      </c>
      <c r="NI177" s="21"/>
      <c r="NJ177" s="21"/>
      <c r="NK177" s="168">
        <v>-283000</v>
      </c>
      <c r="NL177" s="168">
        <v>-283000</v>
      </c>
      <c r="NM177" s="168">
        <v>7844000</v>
      </c>
      <c r="NN177" s="168">
        <v>7938</v>
      </c>
      <c r="NO177" s="168">
        <v>5615000</v>
      </c>
      <c r="NP177" s="168">
        <v>6028000</v>
      </c>
      <c r="NQ177" s="168" t="s">
        <v>1024</v>
      </c>
      <c r="NR177" s="168" t="s">
        <v>769</v>
      </c>
      <c r="NS177" s="168" t="s">
        <v>770</v>
      </c>
      <c r="NT177" s="168" t="s">
        <v>771</v>
      </c>
      <c r="NU177" s="168">
        <v>4901</v>
      </c>
      <c r="NV177" s="168" t="s">
        <v>2104</v>
      </c>
      <c r="NW177" s="168" t="s">
        <v>28</v>
      </c>
      <c r="NX177" s="168" t="s">
        <v>25</v>
      </c>
      <c r="NY177" s="169">
        <v>42825</v>
      </c>
      <c r="NZ177" s="169">
        <v>42460</v>
      </c>
      <c r="OA177" s="169">
        <v>43026</v>
      </c>
      <c r="OB177" s="168" t="s">
        <v>1025</v>
      </c>
      <c r="OC177" s="168">
        <v>12</v>
      </c>
      <c r="OD177" s="168" t="s">
        <v>2105</v>
      </c>
      <c r="OE177" s="168" t="s">
        <v>2413</v>
      </c>
      <c r="OF177" s="168" t="s">
        <v>2227</v>
      </c>
      <c r="OG177" s="168" t="s">
        <v>1851</v>
      </c>
      <c r="OH177" s="168" t="s">
        <v>798</v>
      </c>
      <c r="OI177" s="168" t="s">
        <v>766</v>
      </c>
      <c r="OJ177" s="168" t="s">
        <v>3240</v>
      </c>
      <c r="OK177" s="168" t="s">
        <v>767</v>
      </c>
    </row>
    <row r="178" spans="1:401" x14ac:dyDescent="0.2">
      <c r="A178" s="170" t="str">
        <f>Liste[[#This Row],[Siren]]</f>
        <v>505073163</v>
      </c>
      <c r="B178" s="198" t="str">
        <f>Liste[[#This Row],[Dénomination]]&amp;" - comptes "&amp;YEAR(Liste[[#This Row],[Date de cloture de l''exercice]])</f>
        <v>COMPAGNIE TRANSPORTS D'EQUIPEMENTS DE LEVAGE - comptes 2017</v>
      </c>
      <c r="C178" s="21"/>
      <c r="D178" s="21"/>
      <c r="E178" s="21"/>
      <c r="F178" s="168">
        <v>2579000</v>
      </c>
      <c r="G178" s="168">
        <v>2732000</v>
      </c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168">
        <v>19131000</v>
      </c>
      <c r="BE178" s="168">
        <v>16052000</v>
      </c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168">
        <v>3194000</v>
      </c>
      <c r="CF178" s="168">
        <v>3194000</v>
      </c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168">
        <v>10134000</v>
      </c>
      <c r="EM178" s="168">
        <v>10616000</v>
      </c>
      <c r="EN178" s="21"/>
      <c r="EO178" s="21"/>
      <c r="EP178" s="168">
        <v>46094000</v>
      </c>
      <c r="EQ178" s="168">
        <v>38649000</v>
      </c>
      <c r="ER178" s="21"/>
      <c r="ES178" s="21"/>
      <c r="ET178" s="168">
        <v>56228000</v>
      </c>
      <c r="EU178" s="168">
        <v>49265000</v>
      </c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168">
        <v>-73000</v>
      </c>
      <c r="FJ178" s="168">
        <v>-30000</v>
      </c>
      <c r="FK178" s="21"/>
      <c r="FL178" s="21"/>
      <c r="FM178" s="21"/>
      <c r="FN178" s="21"/>
      <c r="FO178" s="21"/>
      <c r="FP178" s="21"/>
      <c r="FQ178" s="168">
        <v>243000</v>
      </c>
      <c r="FR178" s="168">
        <v>-16000</v>
      </c>
      <c r="FS178" s="21"/>
      <c r="FT178" s="21"/>
      <c r="FU178" s="21"/>
      <c r="FV178" s="21"/>
      <c r="FW178" s="168">
        <v>-364000</v>
      </c>
      <c r="FX178" s="168">
        <v>614000</v>
      </c>
      <c r="FY178" s="168">
        <v>-2210000</v>
      </c>
      <c r="FZ178" s="168">
        <v>-1322000</v>
      </c>
      <c r="GA178" s="21"/>
      <c r="GB178" s="21"/>
      <c r="GC178" s="21"/>
      <c r="GD178" s="21"/>
      <c r="GE178" s="21"/>
      <c r="GF178" s="21"/>
      <c r="GG178" s="21"/>
      <c r="GH178" s="21"/>
      <c r="GI178" s="21"/>
      <c r="GJ178" s="21"/>
      <c r="GK178" s="21"/>
      <c r="GL178" s="21"/>
      <c r="GM178" s="168">
        <v>4896000</v>
      </c>
      <c r="GN178" s="168">
        <v>3292000</v>
      </c>
      <c r="GO178" s="168">
        <v>4653000</v>
      </c>
      <c r="GP178" s="168">
        <v>3308000</v>
      </c>
      <c r="GQ178" s="21"/>
      <c r="GR178" s="21"/>
      <c r="GS178" s="168">
        <v>2686000</v>
      </c>
      <c r="GT178" s="168">
        <v>1970000</v>
      </c>
      <c r="GU178" s="21"/>
      <c r="GV178" s="21"/>
      <c r="GW178" s="21"/>
      <c r="GX178" s="21"/>
      <c r="GY178" s="21"/>
      <c r="GZ178" s="21"/>
      <c r="HA178" s="21"/>
      <c r="HB178" s="21"/>
      <c r="HC178" s="21"/>
      <c r="HD178" s="21"/>
      <c r="HE178" s="21"/>
      <c r="HF178" s="21"/>
      <c r="HG178" s="21"/>
      <c r="HH178" s="21"/>
      <c r="HI178" s="21"/>
      <c r="HJ178" s="21"/>
      <c r="HK178" s="21"/>
      <c r="HL178" s="21"/>
      <c r="HM178" s="21"/>
      <c r="HN178" s="21"/>
      <c r="HO178" s="21"/>
      <c r="HP178" s="21"/>
      <c r="HQ178" s="21"/>
      <c r="HR178" s="21"/>
      <c r="HS178" s="21"/>
      <c r="HT178" s="21"/>
      <c r="HU178" s="21"/>
      <c r="HV178" s="21"/>
      <c r="HW178" s="21"/>
      <c r="HX178" s="21"/>
      <c r="HY178" s="21"/>
      <c r="HZ178" s="21"/>
      <c r="IA178" s="21"/>
      <c r="IB178" s="21"/>
      <c r="IC178" s="21"/>
      <c r="ID178" s="21"/>
      <c r="IE178" s="168">
        <v>-1291000</v>
      </c>
      <c r="IF178" s="168">
        <v>-1142000</v>
      </c>
      <c r="IG178" s="21"/>
      <c r="IH178" s="21"/>
      <c r="II178" s="21"/>
      <c r="IJ178" s="21"/>
      <c r="IK178" s="21"/>
      <c r="IL178" s="21"/>
      <c r="IM178" s="21"/>
      <c r="IN178" s="21"/>
      <c r="IO178" s="21"/>
      <c r="IP178" s="21"/>
      <c r="IQ178" s="21"/>
      <c r="IR178" s="21"/>
      <c r="IS178" s="21"/>
      <c r="IT178" s="21"/>
      <c r="IU178" s="168">
        <v>5091000</v>
      </c>
      <c r="IV178" s="168">
        <v>2724000</v>
      </c>
      <c r="IW178" s="168">
        <v>4964000</v>
      </c>
      <c r="IX178" s="168">
        <v>3107000</v>
      </c>
      <c r="IY178" s="21"/>
      <c r="IZ178" s="21"/>
      <c r="JA178" s="168">
        <v>240000</v>
      </c>
      <c r="JB178" s="168">
        <v>855000</v>
      </c>
      <c r="JC178" s="21"/>
      <c r="JD178" s="21"/>
      <c r="JE178" s="21"/>
      <c r="JF178" s="21"/>
      <c r="JG178" s="21"/>
      <c r="JH178" s="21"/>
      <c r="JI178" s="21"/>
      <c r="JJ178" s="21"/>
      <c r="JK178" s="21"/>
      <c r="JL178" s="21"/>
      <c r="JM178" s="21"/>
      <c r="JN178" s="21"/>
      <c r="JO178" s="21"/>
      <c r="JP178" s="21"/>
      <c r="JQ178" s="21"/>
      <c r="JR178" s="21"/>
      <c r="JS178" s="21"/>
      <c r="JT178" s="21"/>
      <c r="JU178" s="21"/>
      <c r="JV178" s="21"/>
      <c r="JW178" s="168">
        <v>73831000</v>
      </c>
      <c r="JX178" s="168">
        <v>64542000</v>
      </c>
      <c r="JY178" s="21"/>
      <c r="JZ178" s="21"/>
      <c r="KA178" s="21"/>
      <c r="KB178" s="21"/>
      <c r="KC178" s="21"/>
      <c r="KD178" s="21"/>
      <c r="KE178" s="21"/>
      <c r="KF178" s="21"/>
      <c r="KG178" s="21"/>
      <c r="KH178" s="21"/>
      <c r="KI178" s="21"/>
      <c r="KJ178" s="21"/>
      <c r="KK178" s="21"/>
      <c r="KL178" s="21"/>
      <c r="KM178" s="21"/>
      <c r="KN178" s="21"/>
      <c r="KO178" s="21"/>
      <c r="KP178" s="21"/>
      <c r="KQ178" s="168">
        <v>5229000</v>
      </c>
      <c r="KR178" s="168">
        <v>4019000</v>
      </c>
      <c r="KS178" s="21"/>
      <c r="KT178" s="21"/>
      <c r="KU178" s="21"/>
      <c r="KV178" s="21"/>
      <c r="KW178" s="21"/>
      <c r="KX178" s="21"/>
      <c r="KY178" s="21"/>
      <c r="KZ178" s="21"/>
      <c r="LA178" s="168">
        <v>4300000</v>
      </c>
      <c r="LB178" s="168">
        <v>4300000</v>
      </c>
      <c r="LC178" s="21"/>
      <c r="LD178" s="21"/>
      <c r="LE178" s="21"/>
      <c r="LF178" s="21"/>
      <c r="LG178" s="21"/>
      <c r="LH178" s="21"/>
      <c r="LI178" s="21"/>
      <c r="LJ178" s="21"/>
      <c r="LK178" s="168">
        <v>15892000</v>
      </c>
      <c r="LL178" s="168">
        <v>13821000</v>
      </c>
      <c r="LM178" s="21"/>
      <c r="LN178" s="21"/>
      <c r="LO178" s="21"/>
      <c r="LP178" s="21"/>
      <c r="LQ178" s="21"/>
      <c r="LR178" s="21"/>
      <c r="LS178" s="21"/>
      <c r="LT178" s="21"/>
      <c r="LU178" s="168">
        <v>309000</v>
      </c>
      <c r="LV178" s="168">
        <v>91000</v>
      </c>
      <c r="LW178" s="21"/>
      <c r="LX178" s="21"/>
      <c r="LY178" s="21"/>
      <c r="LZ178" s="21"/>
      <c r="MA178" s="21"/>
      <c r="MB178" s="21"/>
      <c r="MC178" s="168">
        <v>5802000</v>
      </c>
      <c r="MD178" s="168">
        <v>6748000</v>
      </c>
      <c r="ME178" s="21"/>
      <c r="MF178" s="21"/>
      <c r="MG178" s="21"/>
      <c r="MH178" s="21"/>
      <c r="MI178" s="21"/>
      <c r="MJ178" s="21"/>
      <c r="MK178" s="21"/>
      <c r="ML178" s="21"/>
      <c r="MM178" s="21"/>
      <c r="MN178" s="21"/>
      <c r="MO178" s="21"/>
      <c r="MP178" s="21"/>
      <c r="MQ178" s="21"/>
      <c r="MR178" s="21"/>
      <c r="MS178" s="21"/>
      <c r="MT178" s="21"/>
      <c r="MU178" s="21"/>
      <c r="MV178" s="21"/>
      <c r="MW178" s="168">
        <v>6540000</v>
      </c>
      <c r="MX178" s="168">
        <v>4722000</v>
      </c>
      <c r="MY178" s="21"/>
      <c r="MZ178" s="21"/>
      <c r="NA178" s="21"/>
      <c r="NB178" s="21"/>
      <c r="NC178" s="168">
        <v>2686000</v>
      </c>
      <c r="ND178" s="168">
        <v>1970000</v>
      </c>
      <c r="NE178" s="21"/>
      <c r="NF178" s="21"/>
      <c r="NG178" s="168">
        <v>13835000</v>
      </c>
      <c r="NH178" s="168">
        <v>11083000</v>
      </c>
      <c r="NI178" s="21"/>
      <c r="NJ178" s="21"/>
      <c r="NK178" s="21"/>
      <c r="NL178" s="21"/>
      <c r="NM178" s="21"/>
      <c r="NN178" s="21"/>
      <c r="NO178" s="168">
        <v>56228000</v>
      </c>
      <c r="NP178" s="168">
        <v>49265000</v>
      </c>
      <c r="NQ178" s="168" t="s">
        <v>844</v>
      </c>
      <c r="NR178" s="168" t="s">
        <v>802</v>
      </c>
      <c r="NS178" s="168" t="s">
        <v>770</v>
      </c>
      <c r="NT178" s="168" t="s">
        <v>771</v>
      </c>
      <c r="NU178" s="168">
        <v>7802</v>
      </c>
      <c r="NV178" s="168" t="s">
        <v>2104</v>
      </c>
      <c r="NW178" s="168" t="s">
        <v>28</v>
      </c>
      <c r="NX178" s="168" t="s">
        <v>25</v>
      </c>
      <c r="NY178" s="169">
        <v>42825</v>
      </c>
      <c r="NZ178" s="169">
        <v>42460</v>
      </c>
      <c r="OA178" s="169">
        <v>43017</v>
      </c>
      <c r="OB178" s="168" t="s">
        <v>1286</v>
      </c>
      <c r="OC178" s="168">
        <v>12</v>
      </c>
      <c r="OD178" s="168" t="s">
        <v>2105</v>
      </c>
      <c r="OE178" s="168" t="s">
        <v>2383</v>
      </c>
      <c r="OF178" s="168" t="s">
        <v>2431</v>
      </c>
      <c r="OG178" s="168" t="s">
        <v>1954</v>
      </c>
      <c r="OH178" s="168" t="s">
        <v>843</v>
      </c>
      <c r="OI178" s="168" t="s">
        <v>766</v>
      </c>
      <c r="OJ178" s="168" t="s">
        <v>3240</v>
      </c>
      <c r="OK178" s="168" t="s">
        <v>801</v>
      </c>
    </row>
    <row r="179" spans="1:401" x14ac:dyDescent="0.2">
      <c r="A179" s="170" t="str">
        <f>Liste[[#This Row],[Siren]]</f>
        <v>530923911</v>
      </c>
      <c r="B179" s="198" t="str">
        <f>Liste[[#This Row],[Dénomination]]&amp;" - comptes "&amp;YEAR(Liste[[#This Row],[Date de cloture de l''exercice]])</f>
        <v>SOFIMAC - comptes 2017</v>
      </c>
      <c r="C179" s="21"/>
      <c r="D179" s="21"/>
      <c r="E179" s="21"/>
      <c r="F179" s="168">
        <v>1547623</v>
      </c>
      <c r="G179" s="168">
        <v>1941115</v>
      </c>
      <c r="H179" s="168">
        <v>1550674</v>
      </c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168">
        <v>112121</v>
      </c>
      <c r="BE179" s="168">
        <v>127980</v>
      </c>
      <c r="BF179" s="168">
        <v>119668</v>
      </c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168">
        <v>243719</v>
      </c>
      <c r="BY179" s="168">
        <v>228865</v>
      </c>
      <c r="BZ179" s="168">
        <v>243719</v>
      </c>
      <c r="CA179" s="21"/>
      <c r="CB179" s="21"/>
      <c r="CC179" s="21"/>
      <c r="CD179" s="168">
        <v>-4627974</v>
      </c>
      <c r="CE179" s="168">
        <v>4627984</v>
      </c>
      <c r="CF179" s="168">
        <v>5399313</v>
      </c>
      <c r="CG179" s="168">
        <v>9255958</v>
      </c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168">
        <v>-12246006</v>
      </c>
      <c r="EL179" s="168">
        <v>20326152</v>
      </c>
      <c r="EM179" s="168">
        <v>21901030</v>
      </c>
      <c r="EN179" s="168">
        <v>32572158</v>
      </c>
      <c r="EO179" s="21"/>
      <c r="EP179" s="168">
        <v>5883908</v>
      </c>
      <c r="EQ179" s="168">
        <v>6068692</v>
      </c>
      <c r="ER179" s="168">
        <v>5894506</v>
      </c>
      <c r="ES179" s="168">
        <v>-12256604</v>
      </c>
      <c r="ET179" s="168">
        <v>26210060</v>
      </c>
      <c r="EU179" s="168">
        <v>27969722</v>
      </c>
      <c r="EV179" s="168">
        <v>38466664</v>
      </c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168">
        <v>-18204</v>
      </c>
      <c r="FJ179" s="168">
        <v>-139126</v>
      </c>
      <c r="FK179" s="21"/>
      <c r="FL179" s="21"/>
      <c r="FM179" s="21"/>
      <c r="FN179" s="21"/>
      <c r="FO179" s="21"/>
      <c r="FP179" s="21"/>
      <c r="FQ179" s="168">
        <v>-771329</v>
      </c>
      <c r="FR179" s="168">
        <v>-771329</v>
      </c>
      <c r="FS179" s="21"/>
      <c r="FT179" s="21"/>
      <c r="FU179" s="21"/>
      <c r="FV179" s="21"/>
      <c r="FW179" s="21"/>
      <c r="FX179" s="21"/>
      <c r="FY179" s="168">
        <v>3539</v>
      </c>
      <c r="FZ179" s="168">
        <v>2609</v>
      </c>
      <c r="GA179" s="21"/>
      <c r="GB179" s="21"/>
      <c r="GC179" s="21"/>
      <c r="GD179" s="21"/>
      <c r="GE179" s="21"/>
      <c r="GF179" s="21"/>
      <c r="GG179" s="21"/>
      <c r="GH179" s="21"/>
      <c r="GI179" s="21"/>
      <c r="GJ179" s="21"/>
      <c r="GK179" s="21"/>
      <c r="GL179" s="21"/>
      <c r="GM179" s="21"/>
      <c r="GN179" s="21"/>
      <c r="GO179" s="21"/>
      <c r="GP179" s="21"/>
      <c r="GQ179" s="21"/>
      <c r="GR179" s="21"/>
      <c r="GS179" s="21"/>
      <c r="GT179" s="21"/>
      <c r="GU179" s="168">
        <v>-61915</v>
      </c>
      <c r="GV179" s="168">
        <v>-276007</v>
      </c>
      <c r="GW179" s="168">
        <v>43711</v>
      </c>
      <c r="GX179" s="168">
        <v>136881</v>
      </c>
      <c r="GY179" s="21"/>
      <c r="GZ179" s="21"/>
      <c r="HA179" s="21"/>
      <c r="HB179" s="21"/>
      <c r="HC179" s="21"/>
      <c r="HD179" s="21"/>
      <c r="HE179" s="21"/>
      <c r="HF179" s="21"/>
      <c r="HG179" s="21"/>
      <c r="HH179" s="21"/>
      <c r="HI179" s="168">
        <v>218115</v>
      </c>
      <c r="HJ179" s="168">
        <v>207179</v>
      </c>
      <c r="HK179" s="21"/>
      <c r="HL179" s="21"/>
      <c r="HM179" s="21"/>
      <c r="HN179" s="21"/>
      <c r="HO179" s="21"/>
      <c r="HP179" s="21"/>
      <c r="HQ179" s="21"/>
      <c r="HR179" s="21"/>
      <c r="HS179" s="21"/>
      <c r="HT179" s="21"/>
      <c r="HU179" s="21"/>
      <c r="HV179" s="21"/>
      <c r="HW179" s="21"/>
      <c r="HX179" s="21"/>
      <c r="HY179" s="21"/>
      <c r="HZ179" s="21"/>
      <c r="IA179" s="21"/>
      <c r="IB179" s="21"/>
      <c r="IC179" s="21"/>
      <c r="ID179" s="21"/>
      <c r="IE179" s="168">
        <v>-936903</v>
      </c>
      <c r="IF179" s="168">
        <v>-854029</v>
      </c>
      <c r="IG179" s="21"/>
      <c r="IH179" s="21"/>
      <c r="II179" s="21"/>
      <c r="IJ179" s="21"/>
      <c r="IK179" s="21"/>
      <c r="IL179" s="21"/>
      <c r="IM179" s="21"/>
      <c r="IN179" s="21"/>
      <c r="IO179" s="21"/>
      <c r="IP179" s="21"/>
      <c r="IQ179" s="21"/>
      <c r="IR179" s="21"/>
      <c r="IS179" s="21"/>
      <c r="IT179" s="21"/>
      <c r="IU179" s="21"/>
      <c r="IV179" s="21"/>
      <c r="IW179" s="168">
        <v>1932052</v>
      </c>
      <c r="IX179" s="168">
        <v>1668103</v>
      </c>
      <c r="IY179" s="168">
        <v>-136165</v>
      </c>
      <c r="IZ179" s="168">
        <v>-182435</v>
      </c>
      <c r="JA179" s="21"/>
      <c r="JB179" s="21"/>
      <c r="JC179" s="21"/>
      <c r="JD179" s="21"/>
      <c r="JE179" s="168">
        <v>-5108262</v>
      </c>
      <c r="JF179" s="168">
        <v>-4728810</v>
      </c>
      <c r="JG179" s="21"/>
      <c r="JH179" s="21"/>
      <c r="JI179" s="21"/>
      <c r="JJ179" s="21"/>
      <c r="JK179" s="168">
        <v>-137351</v>
      </c>
      <c r="JL179" s="168">
        <v>-186197</v>
      </c>
      <c r="JM179" s="168">
        <v>52518270</v>
      </c>
      <c r="JN179" s="168">
        <v>49064725</v>
      </c>
      <c r="JO179" s="168">
        <v>1186</v>
      </c>
      <c r="JP179" s="168">
        <v>3762</v>
      </c>
      <c r="JQ179" s="21"/>
      <c r="JR179" s="21"/>
      <c r="JS179" s="21"/>
      <c r="JT179" s="21"/>
      <c r="JU179" s="21"/>
      <c r="JV179" s="21"/>
      <c r="JW179" s="168">
        <v>52300155</v>
      </c>
      <c r="JX179" s="168">
        <v>48857546</v>
      </c>
      <c r="JY179" s="21"/>
      <c r="JZ179" s="21"/>
      <c r="KA179" s="21"/>
      <c r="KB179" s="21"/>
      <c r="KC179" s="21"/>
      <c r="KD179" s="21"/>
      <c r="KE179" s="21"/>
      <c r="KF179" s="21"/>
      <c r="KG179" s="21"/>
      <c r="KH179" s="21"/>
      <c r="KI179" s="21"/>
      <c r="KJ179" s="21"/>
      <c r="KK179" s="21"/>
      <c r="KL179" s="21"/>
      <c r="KM179" s="21"/>
      <c r="KN179" s="21"/>
      <c r="KO179" s="21"/>
      <c r="KP179" s="21"/>
      <c r="KQ179" s="21"/>
      <c r="KR179" s="21"/>
      <c r="KS179" s="21"/>
      <c r="KT179" s="21"/>
      <c r="KU179" s="21"/>
      <c r="KV179" s="21"/>
      <c r="KW179" s="21"/>
      <c r="KX179" s="21"/>
      <c r="KY179" s="21"/>
      <c r="KZ179" s="21"/>
      <c r="LA179" s="168">
        <v>37000</v>
      </c>
      <c r="LB179" s="168">
        <v>37000</v>
      </c>
      <c r="LC179" s="21"/>
      <c r="LD179" s="21"/>
      <c r="LE179" s="21"/>
      <c r="LF179" s="21"/>
      <c r="LG179" s="21"/>
      <c r="LH179" s="21"/>
      <c r="LI179" s="21"/>
      <c r="LJ179" s="21"/>
      <c r="LK179" s="168">
        <v>4015865</v>
      </c>
      <c r="LL179" s="168">
        <v>3543467</v>
      </c>
      <c r="LM179" s="21"/>
      <c r="LN179" s="21"/>
      <c r="LO179" s="21"/>
      <c r="LP179" s="21"/>
      <c r="LQ179" s="21"/>
      <c r="LR179" s="21"/>
      <c r="LS179" s="21"/>
      <c r="LT179" s="21"/>
      <c r="LU179" s="21"/>
      <c r="LV179" s="21"/>
      <c r="LW179" s="21"/>
      <c r="LX179" s="21"/>
      <c r="LY179" s="21"/>
      <c r="LZ179" s="21"/>
      <c r="MA179" s="21"/>
      <c r="MB179" s="21"/>
      <c r="MC179" s="168">
        <v>18579099</v>
      </c>
      <c r="MD179" s="168">
        <v>21328939</v>
      </c>
      <c r="ME179" s="21"/>
      <c r="MF179" s="21"/>
      <c r="MG179" s="21"/>
      <c r="MH179" s="21"/>
      <c r="MI179" s="21"/>
      <c r="MJ179" s="21"/>
      <c r="MK179" s="21"/>
      <c r="ML179" s="21"/>
      <c r="MM179" s="21"/>
      <c r="MN179" s="21"/>
      <c r="MO179" s="21"/>
      <c r="MP179" s="21"/>
      <c r="MQ179" s="21"/>
      <c r="MR179" s="21"/>
      <c r="MS179" s="21"/>
      <c r="MT179" s="21"/>
      <c r="MU179" s="21"/>
      <c r="MV179" s="21"/>
      <c r="MW179" s="168">
        <v>967868</v>
      </c>
      <c r="MX179" s="168">
        <v>738667</v>
      </c>
      <c r="MY179" s="21"/>
      <c r="MZ179" s="21"/>
      <c r="NA179" s="21"/>
      <c r="NB179" s="21"/>
      <c r="NC179" s="168">
        <v>519580</v>
      </c>
      <c r="ND179" s="168">
        <v>229252</v>
      </c>
      <c r="NE179" s="21"/>
      <c r="NF179" s="21"/>
      <c r="NG179" s="168">
        <v>1524289</v>
      </c>
      <c r="NH179" s="168">
        <v>1004919</v>
      </c>
      <c r="NI179" s="21"/>
      <c r="NJ179" s="21"/>
      <c r="NK179" s="168">
        <v>7391</v>
      </c>
      <c r="NL179" s="168">
        <v>6444</v>
      </c>
      <c r="NM179" s="168">
        <v>24561748</v>
      </c>
      <c r="NN179" s="168">
        <v>26845438</v>
      </c>
      <c r="NO179" s="168">
        <v>26210060</v>
      </c>
      <c r="NP179" s="168">
        <v>27969722</v>
      </c>
      <c r="NQ179" s="168" t="s">
        <v>1287</v>
      </c>
      <c r="NR179" s="168" t="s">
        <v>769</v>
      </c>
      <c r="NS179" s="168" t="s">
        <v>770</v>
      </c>
      <c r="NT179" s="168" t="s">
        <v>771</v>
      </c>
      <c r="NU179" s="168">
        <v>7608</v>
      </c>
      <c r="NV179" s="168" t="s">
        <v>2104</v>
      </c>
      <c r="NW179" s="168" t="s">
        <v>28</v>
      </c>
      <c r="NX179" s="168" t="s">
        <v>25</v>
      </c>
      <c r="NY179" s="169">
        <v>42825</v>
      </c>
      <c r="NZ179" s="169">
        <v>42460</v>
      </c>
      <c r="OA179" s="169">
        <v>43025</v>
      </c>
      <c r="OB179" s="168" t="s">
        <v>1288</v>
      </c>
      <c r="OC179" s="168">
        <v>12</v>
      </c>
      <c r="OD179" s="168" t="s">
        <v>2105</v>
      </c>
      <c r="OE179" s="168" t="s">
        <v>2191</v>
      </c>
      <c r="OF179" s="168" t="s">
        <v>2432</v>
      </c>
      <c r="OG179" s="168" t="s">
        <v>1955</v>
      </c>
      <c r="OH179" s="168" t="s">
        <v>816</v>
      </c>
      <c r="OI179" s="168" t="s">
        <v>766</v>
      </c>
      <c r="OJ179" s="168" t="s">
        <v>3240</v>
      </c>
      <c r="OK179" s="168" t="s">
        <v>767</v>
      </c>
    </row>
    <row r="180" spans="1:401" x14ac:dyDescent="0.2">
      <c r="A180" s="170" t="str">
        <f>Liste[[#This Row],[Siren]]</f>
        <v>510376338</v>
      </c>
      <c r="B180" s="198" t="str">
        <f>Liste[[#This Row],[Dénomination]]&amp;" - comptes "&amp;YEAR(Liste[[#This Row],[Date de cloture de l''exercice]])</f>
        <v>LAJESCLO - comptes 2017</v>
      </c>
      <c r="C180" s="168">
        <v>40239</v>
      </c>
      <c r="D180" s="21"/>
      <c r="E180" s="21"/>
      <c r="F180" s="168">
        <v>1553269</v>
      </c>
      <c r="G180" s="168">
        <v>1327711</v>
      </c>
      <c r="H180" s="168">
        <v>1553269</v>
      </c>
      <c r="I180" s="168">
        <v>2278068</v>
      </c>
      <c r="J180" s="168">
        <v>595698</v>
      </c>
      <c r="K180" s="168">
        <v>571047</v>
      </c>
      <c r="L180" s="168">
        <v>2873766</v>
      </c>
      <c r="M180" s="21"/>
      <c r="N180" s="168">
        <v>20026</v>
      </c>
      <c r="O180" s="168">
        <v>21568</v>
      </c>
      <c r="P180" s="168">
        <v>20026</v>
      </c>
      <c r="Q180" s="21"/>
      <c r="R180" s="21"/>
      <c r="S180" s="21"/>
      <c r="T180" s="21"/>
      <c r="U180" s="21"/>
      <c r="V180" s="21"/>
      <c r="W180" s="21"/>
      <c r="X180" s="21"/>
      <c r="Y180" s="21"/>
      <c r="Z180" s="168">
        <v>919490</v>
      </c>
      <c r="AA180" s="168">
        <v>914720</v>
      </c>
      <c r="AB180" s="168">
        <v>919490</v>
      </c>
      <c r="AC180" s="21"/>
      <c r="AD180" s="168">
        <v>53636</v>
      </c>
      <c r="AE180" s="21"/>
      <c r="AF180" s="168">
        <v>53636</v>
      </c>
      <c r="AG180" s="21"/>
      <c r="AH180" s="21"/>
      <c r="AI180" s="21"/>
      <c r="AJ180" s="21"/>
      <c r="AK180" s="21"/>
      <c r="AL180" s="21"/>
      <c r="AM180" s="21"/>
      <c r="AN180" s="21"/>
      <c r="AO180" s="21"/>
      <c r="AP180" s="168">
        <v>5</v>
      </c>
      <c r="AQ180" s="168">
        <v>5</v>
      </c>
      <c r="AR180" s="168">
        <v>5</v>
      </c>
      <c r="AS180" s="21"/>
      <c r="AT180" s="21"/>
      <c r="AU180" s="21"/>
      <c r="AV180" s="21"/>
      <c r="AW180" s="21"/>
      <c r="AX180" s="21"/>
      <c r="AY180" s="21"/>
      <c r="AZ180" s="168">
        <v>360914</v>
      </c>
      <c r="BA180" s="168">
        <v>296855</v>
      </c>
      <c r="BB180" s="168">
        <v>360914</v>
      </c>
      <c r="BC180" s="168">
        <v>1126</v>
      </c>
      <c r="BD180" s="168">
        <v>116200</v>
      </c>
      <c r="BE180" s="168">
        <v>159098</v>
      </c>
      <c r="BF180" s="168">
        <v>117325</v>
      </c>
      <c r="BG180" s="168">
        <v>164341</v>
      </c>
      <c r="BH180" s="168">
        <v>7102</v>
      </c>
      <c r="BI180" s="168">
        <v>8329</v>
      </c>
      <c r="BJ180" s="168">
        <v>171443</v>
      </c>
      <c r="BK180" s="168">
        <v>1299992</v>
      </c>
      <c r="BL180" s="168">
        <v>2676976</v>
      </c>
      <c r="BM180" s="168">
        <v>2758879</v>
      </c>
      <c r="BN180" s="168">
        <v>3976969</v>
      </c>
      <c r="BO180" s="21"/>
      <c r="BP180" s="21"/>
      <c r="BQ180" s="21"/>
      <c r="BR180" s="21"/>
      <c r="BS180" s="21"/>
      <c r="BT180" s="21"/>
      <c r="BU180" s="21"/>
      <c r="BV180" s="21"/>
      <c r="BW180" s="21"/>
      <c r="BX180" s="168">
        <v>705224</v>
      </c>
      <c r="BY180" s="168">
        <v>612107</v>
      </c>
      <c r="BZ180" s="168">
        <v>705224</v>
      </c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168">
        <v>5988393</v>
      </c>
      <c r="CR180" s="168">
        <v>5988393</v>
      </c>
      <c r="CS180" s="168">
        <v>5988393</v>
      </c>
      <c r="CT180" s="21"/>
      <c r="CU180" s="21"/>
      <c r="CV180" s="21"/>
      <c r="CW180" s="21"/>
      <c r="CX180" s="168">
        <v>5840</v>
      </c>
      <c r="CY180" s="21"/>
      <c r="CZ180" s="21"/>
      <c r="DA180" s="168">
        <v>5840</v>
      </c>
      <c r="DB180" s="21"/>
      <c r="DC180" s="21"/>
      <c r="DD180" s="21"/>
      <c r="DE180" s="21"/>
      <c r="DF180" s="168">
        <v>976974</v>
      </c>
      <c r="DG180" s="168">
        <v>175369</v>
      </c>
      <c r="DH180" s="168">
        <v>250672</v>
      </c>
      <c r="DI180" s="168">
        <v>1152343</v>
      </c>
      <c r="DJ180" s="21"/>
      <c r="DK180" s="168">
        <v>2602223</v>
      </c>
      <c r="DL180" s="168">
        <v>2498466</v>
      </c>
      <c r="DM180" s="168">
        <v>2602223</v>
      </c>
      <c r="DN180" s="21"/>
      <c r="DO180" s="21"/>
      <c r="DP180" s="21"/>
      <c r="DQ180" s="21"/>
      <c r="DR180" s="21"/>
      <c r="DS180" s="21"/>
      <c r="DT180" s="21"/>
      <c r="DU180" s="21"/>
      <c r="DV180" s="21"/>
      <c r="DW180" s="168">
        <v>20213</v>
      </c>
      <c r="DX180" s="168">
        <v>20213</v>
      </c>
      <c r="DY180" s="168">
        <v>20213</v>
      </c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168">
        <v>4725215</v>
      </c>
      <c r="EL180" s="168">
        <v>10676904</v>
      </c>
      <c r="EM180" s="168">
        <v>10753822</v>
      </c>
      <c r="EN180" s="168">
        <v>15402119</v>
      </c>
      <c r="EO180" s="168">
        <v>1126</v>
      </c>
      <c r="EP180" s="168">
        <v>5337836</v>
      </c>
      <c r="EQ180" s="168">
        <v>4894242</v>
      </c>
      <c r="ER180" s="168">
        <v>5338961</v>
      </c>
      <c r="ES180" s="168">
        <v>4726340</v>
      </c>
      <c r="ET180" s="168">
        <v>16014740</v>
      </c>
      <c r="EU180" s="168">
        <v>15648064</v>
      </c>
      <c r="EV180" s="168">
        <v>20741080</v>
      </c>
      <c r="EW180" s="21"/>
      <c r="EX180" s="168">
        <v>220000</v>
      </c>
      <c r="EY180" s="168">
        <v>220000</v>
      </c>
      <c r="EZ180" s="168">
        <v>220000</v>
      </c>
      <c r="FA180" s="21"/>
      <c r="FB180" s="21"/>
      <c r="FC180" s="21"/>
      <c r="FD180" s="21"/>
      <c r="FE180" s="21"/>
      <c r="FF180" s="21"/>
      <c r="FG180" s="21"/>
      <c r="FH180" s="21"/>
      <c r="FI180" s="168">
        <v>5118</v>
      </c>
      <c r="FJ180" s="168">
        <v>-2890</v>
      </c>
      <c r="FK180" s="21"/>
      <c r="FL180" s="21"/>
      <c r="FM180" s="168">
        <v>19578</v>
      </c>
      <c r="FN180" s="168">
        <v>10911</v>
      </c>
      <c r="FO180" s="168">
        <v>298</v>
      </c>
      <c r="FP180" s="168">
        <v>93668</v>
      </c>
      <c r="FQ180" s="21"/>
      <c r="FR180" s="21"/>
      <c r="FS180" s="21"/>
      <c r="FT180" s="21"/>
      <c r="FU180" s="21"/>
      <c r="FV180" s="21"/>
      <c r="FW180" s="168">
        <v>176404</v>
      </c>
      <c r="FX180" s="168">
        <v>88366</v>
      </c>
      <c r="FY180" s="168">
        <v>2262</v>
      </c>
      <c r="FZ180" s="168">
        <v>876</v>
      </c>
      <c r="GA180" s="21"/>
      <c r="GB180" s="21"/>
      <c r="GC180" s="168">
        <v>24159</v>
      </c>
      <c r="GD180" s="168">
        <v>8200</v>
      </c>
      <c r="GE180" s="168">
        <v>834</v>
      </c>
      <c r="GF180" s="168">
        <v>946</v>
      </c>
      <c r="GG180" s="21"/>
      <c r="GH180" s="21"/>
      <c r="GI180" s="21"/>
      <c r="GJ180" s="21"/>
      <c r="GK180" s="21"/>
      <c r="GL180" s="168">
        <v>93419</v>
      </c>
      <c r="GM180" s="168">
        <v>897233</v>
      </c>
      <c r="GN180" s="168">
        <v>728291</v>
      </c>
      <c r="GO180" s="168">
        <v>897233</v>
      </c>
      <c r="GP180" s="168">
        <v>728291</v>
      </c>
      <c r="GQ180" s="21"/>
      <c r="GR180" s="21"/>
      <c r="GS180" s="168">
        <v>899495</v>
      </c>
      <c r="GT180" s="168">
        <v>729167</v>
      </c>
      <c r="GU180" s="168">
        <v>19875</v>
      </c>
      <c r="GV180" s="168">
        <v>104579</v>
      </c>
      <c r="GW180" s="168">
        <v>24993</v>
      </c>
      <c r="GX180" s="168">
        <v>101689</v>
      </c>
      <c r="GY180" s="168">
        <v>33541890</v>
      </c>
      <c r="GZ180" s="168">
        <v>34468062</v>
      </c>
      <c r="HA180" s="168">
        <v>75414</v>
      </c>
      <c r="HB180" s="168">
        <v>79807</v>
      </c>
      <c r="HC180" s="168">
        <v>3357449</v>
      </c>
      <c r="HD180" s="168">
        <v>3516342</v>
      </c>
      <c r="HE180" s="168">
        <v>21642</v>
      </c>
      <c r="HF180" s="168">
        <v>26032</v>
      </c>
      <c r="HG180" s="168">
        <v>108</v>
      </c>
      <c r="HH180" s="168">
        <v>706</v>
      </c>
      <c r="HI180" s="168">
        <v>61877</v>
      </c>
      <c r="HJ180" s="168">
        <v>30293</v>
      </c>
      <c r="HK180" s="21"/>
      <c r="HL180" s="21"/>
      <c r="HM180" s="21"/>
      <c r="HN180" s="21"/>
      <c r="HO180" s="168">
        <v>1169793</v>
      </c>
      <c r="HP180" s="168">
        <v>1119936</v>
      </c>
      <c r="HQ180" s="21"/>
      <c r="HR180" s="21"/>
      <c r="HS180" s="21"/>
      <c r="HT180" s="21"/>
      <c r="HU180" s="168">
        <v>498968</v>
      </c>
      <c r="HV180" s="168">
        <v>527545</v>
      </c>
      <c r="HW180" s="168">
        <v>227804</v>
      </c>
      <c r="HX180" s="168">
        <v>218827</v>
      </c>
      <c r="HY180" s="21"/>
      <c r="HZ180" s="21"/>
      <c r="IA180" s="168">
        <v>537</v>
      </c>
      <c r="IB180" s="168">
        <v>404</v>
      </c>
      <c r="IC180" s="21"/>
      <c r="ID180" s="21"/>
      <c r="IE180" s="168">
        <v>597238</v>
      </c>
      <c r="IF180" s="168">
        <v>593694</v>
      </c>
      <c r="IG180" s="168">
        <v>152752</v>
      </c>
      <c r="IH180" s="168">
        <v>181023</v>
      </c>
      <c r="II180" s="21"/>
      <c r="IJ180" s="21"/>
      <c r="IK180" s="21"/>
      <c r="IL180" s="21"/>
      <c r="IM180" s="21"/>
      <c r="IN180" s="21"/>
      <c r="IO180" s="21"/>
      <c r="IP180" s="21"/>
      <c r="IQ180" s="168">
        <v>59</v>
      </c>
      <c r="IR180" s="168">
        <v>26</v>
      </c>
      <c r="IS180" s="21"/>
      <c r="IT180" s="21"/>
      <c r="IU180" s="168">
        <v>1068520</v>
      </c>
      <c r="IV180" s="168">
        <v>819547</v>
      </c>
      <c r="IW180" s="168">
        <v>1221105</v>
      </c>
      <c r="IX180" s="168">
        <v>999839</v>
      </c>
      <c r="IY180" s="168">
        <v>-152585</v>
      </c>
      <c r="IZ180" s="168">
        <v>-180291</v>
      </c>
      <c r="JA180" s="168">
        <v>303624</v>
      </c>
      <c r="JB180" s="168">
        <v>325483</v>
      </c>
      <c r="JC180" s="21"/>
      <c r="JD180" s="21"/>
      <c r="JE180" s="168">
        <v>3390461</v>
      </c>
      <c r="JF180" s="168">
        <v>3364805</v>
      </c>
      <c r="JG180" s="168">
        <v>6152</v>
      </c>
      <c r="JH180" s="21"/>
      <c r="JI180" s="168">
        <v>42777437</v>
      </c>
      <c r="JJ180" s="168">
        <v>44014493</v>
      </c>
      <c r="JK180" s="168">
        <v>152752</v>
      </c>
      <c r="JL180" s="168">
        <v>181023</v>
      </c>
      <c r="JM180" s="168">
        <v>43998543</v>
      </c>
      <c r="JN180" s="168">
        <v>45014331</v>
      </c>
      <c r="JO180" s="168">
        <v>167</v>
      </c>
      <c r="JP180" s="168">
        <v>732</v>
      </c>
      <c r="JQ180" s="168">
        <v>-103758</v>
      </c>
      <c r="JR180" s="168">
        <v>99039</v>
      </c>
      <c r="JS180" s="21"/>
      <c r="JT180" s="21"/>
      <c r="JU180" s="21"/>
      <c r="JV180" s="168">
        <v>43626890</v>
      </c>
      <c r="JW180" s="168">
        <v>43626890</v>
      </c>
      <c r="JX180" s="168">
        <v>44658555</v>
      </c>
      <c r="JY180" s="21"/>
      <c r="JZ180" s="168">
        <v>36139</v>
      </c>
      <c r="KA180" s="168">
        <v>36139</v>
      </c>
      <c r="KB180" s="168">
        <v>39096</v>
      </c>
      <c r="KC180" s="21"/>
      <c r="KD180" s="168">
        <v>538206</v>
      </c>
      <c r="KE180" s="168">
        <v>538206</v>
      </c>
      <c r="KF180" s="168">
        <v>578358</v>
      </c>
      <c r="KG180" s="21"/>
      <c r="KH180" s="168">
        <v>43052545</v>
      </c>
      <c r="KI180" s="168">
        <v>43052545</v>
      </c>
      <c r="KJ180" s="168">
        <v>44041102</v>
      </c>
      <c r="KK180" s="21"/>
      <c r="KL180" s="21"/>
      <c r="KM180" s="21"/>
      <c r="KN180" s="21"/>
      <c r="KO180" s="21"/>
      <c r="KP180" s="21"/>
      <c r="KQ180" s="168">
        <v>108865</v>
      </c>
      <c r="KR180" s="168">
        <v>117720</v>
      </c>
      <c r="KS180" s="21"/>
      <c r="KT180" s="21"/>
      <c r="KU180" s="168">
        <v>2605947</v>
      </c>
      <c r="KV180" s="168">
        <v>1977634</v>
      </c>
      <c r="KW180" s="21"/>
      <c r="KX180" s="21"/>
      <c r="KY180" s="21"/>
      <c r="KZ180" s="21"/>
      <c r="LA180" s="168">
        <v>40000</v>
      </c>
      <c r="LB180" s="168">
        <v>40000</v>
      </c>
      <c r="LC180" s="21"/>
      <c r="LD180" s="21"/>
      <c r="LE180" s="21"/>
      <c r="LF180" s="21"/>
      <c r="LG180" s="168">
        <v>6828618</v>
      </c>
      <c r="LH180" s="168">
        <v>6489033</v>
      </c>
      <c r="LI180" s="168">
        <v>1397487</v>
      </c>
      <c r="LJ180" s="168">
        <v>1374101</v>
      </c>
      <c r="LK180" s="168">
        <v>3265595</v>
      </c>
      <c r="LL180" s="168">
        <v>2977199</v>
      </c>
      <c r="LM180" s="168">
        <v>175488</v>
      </c>
      <c r="LN180" s="168">
        <v>21346</v>
      </c>
      <c r="LO180" s="168">
        <v>563535</v>
      </c>
      <c r="LP180" s="168">
        <v>575403</v>
      </c>
      <c r="LQ180" s="21"/>
      <c r="LR180" s="21"/>
      <c r="LS180" s="21"/>
      <c r="LT180" s="21"/>
      <c r="LU180" s="21"/>
      <c r="LV180" s="21"/>
      <c r="LW180" s="21"/>
      <c r="LX180" s="21"/>
      <c r="LY180" s="21"/>
      <c r="LZ180" s="21"/>
      <c r="MA180" s="168">
        <v>7033303</v>
      </c>
      <c r="MB180" s="168">
        <v>7921385</v>
      </c>
      <c r="MC180" s="168">
        <v>185369</v>
      </c>
      <c r="MD180" s="168">
        <v>196337</v>
      </c>
      <c r="ME180" s="21"/>
      <c r="MF180" s="21"/>
      <c r="MG180" s="21"/>
      <c r="MH180" s="21"/>
      <c r="MI180" s="21"/>
      <c r="MJ180" s="21"/>
      <c r="MK180" s="21"/>
      <c r="ML180" s="21"/>
      <c r="MM180" s="168">
        <v>26455</v>
      </c>
      <c r="MN180" s="168">
        <v>26292</v>
      </c>
      <c r="MO180" s="168">
        <v>227804</v>
      </c>
      <c r="MP180" s="168">
        <v>218827</v>
      </c>
      <c r="MQ180" s="168">
        <v>41000</v>
      </c>
      <c r="MR180" s="168">
        <v>41000</v>
      </c>
      <c r="MS180" s="21"/>
      <c r="MT180" s="21"/>
      <c r="MU180" s="21"/>
      <c r="MV180" s="21"/>
      <c r="MW180" s="168">
        <v>4000</v>
      </c>
      <c r="MX180" s="168">
        <v>4000</v>
      </c>
      <c r="MY180" s="21"/>
      <c r="MZ180" s="21"/>
      <c r="NA180" s="21"/>
      <c r="NB180" s="21"/>
      <c r="NC180" s="168">
        <v>899495</v>
      </c>
      <c r="ND180" s="168">
        <v>729167</v>
      </c>
      <c r="NE180" s="21"/>
      <c r="NF180" s="21"/>
      <c r="NG180" s="168">
        <v>3549442</v>
      </c>
      <c r="NH180" s="168">
        <v>2750801</v>
      </c>
      <c r="NI180" s="21"/>
      <c r="NJ180" s="21"/>
      <c r="NK180" s="168">
        <v>3933</v>
      </c>
      <c r="NL180" s="168">
        <v>3056</v>
      </c>
      <c r="NM180" s="168">
        <v>12192561</v>
      </c>
      <c r="NN180" s="168">
        <v>12634379</v>
      </c>
      <c r="NO180" s="168">
        <v>16014740</v>
      </c>
      <c r="NP180" s="168">
        <v>15648064</v>
      </c>
      <c r="NQ180" s="168" t="s">
        <v>1012</v>
      </c>
      <c r="NR180" s="168" t="s">
        <v>769</v>
      </c>
      <c r="NS180" s="168" t="s">
        <v>770</v>
      </c>
      <c r="NT180" s="168" t="s">
        <v>771</v>
      </c>
      <c r="NU180" s="168">
        <v>5902</v>
      </c>
      <c r="NV180" s="168" t="s">
        <v>2104</v>
      </c>
      <c r="NW180" s="168" t="s">
        <v>28</v>
      </c>
      <c r="NX180" s="168" t="s">
        <v>25</v>
      </c>
      <c r="NY180" s="169">
        <v>42825</v>
      </c>
      <c r="NZ180" s="169">
        <v>42460</v>
      </c>
      <c r="OA180" s="169">
        <v>43019</v>
      </c>
      <c r="OB180" s="168" t="s">
        <v>1013</v>
      </c>
      <c r="OC180" s="168">
        <v>12</v>
      </c>
      <c r="OD180" s="168" t="s">
        <v>2106</v>
      </c>
      <c r="OE180" s="168" t="s">
        <v>1289</v>
      </c>
      <c r="OF180" s="168" t="s">
        <v>2215</v>
      </c>
      <c r="OG180" s="168" t="s">
        <v>1844</v>
      </c>
      <c r="OH180" s="168" t="s">
        <v>940</v>
      </c>
      <c r="OI180" s="168" t="s">
        <v>766</v>
      </c>
      <c r="OJ180" s="168" t="s">
        <v>3240</v>
      </c>
      <c r="OK180" s="168" t="s">
        <v>767</v>
      </c>
    </row>
    <row r="181" spans="1:401" x14ac:dyDescent="0.2">
      <c r="A181" s="170" t="str">
        <f>Liste[[#This Row],[Siren]]</f>
        <v>308213164</v>
      </c>
      <c r="B181" s="198" t="str">
        <f>Liste[[#This Row],[Dénomination]]&amp;" - comptes "&amp;YEAR(Liste[[#This Row],[Date de cloture de l''exercice]])</f>
        <v>BOUCHARD HOLDING - comptes 2017</v>
      </c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168">
        <v>6265000</v>
      </c>
      <c r="BE181" s="168">
        <v>10995000</v>
      </c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168">
        <v>3446000</v>
      </c>
      <c r="CF181" s="168">
        <v>3668000</v>
      </c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168">
        <v>17475000</v>
      </c>
      <c r="EM181" s="168">
        <v>18537000</v>
      </c>
      <c r="EN181" s="21"/>
      <c r="EO181" s="21"/>
      <c r="EP181" s="168">
        <v>23617000</v>
      </c>
      <c r="EQ181" s="168">
        <v>30457000</v>
      </c>
      <c r="ER181" s="21"/>
      <c r="ES181" s="21"/>
      <c r="ET181" s="168">
        <v>44539000</v>
      </c>
      <c r="EU181" s="168">
        <v>52662000</v>
      </c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168">
        <v>121000</v>
      </c>
      <c r="FH181" s="21"/>
      <c r="FI181" s="168">
        <v>-56000</v>
      </c>
      <c r="FJ181" s="168">
        <v>211000</v>
      </c>
      <c r="FK181" s="21"/>
      <c r="FL181" s="21"/>
      <c r="FM181" s="21"/>
      <c r="FN181" s="21"/>
      <c r="FO181" s="21"/>
      <c r="FP181" s="21"/>
      <c r="FQ181" s="168">
        <v>-442000</v>
      </c>
      <c r="FR181" s="168">
        <v>-407000</v>
      </c>
      <c r="FS181" s="21"/>
      <c r="FT181" s="21"/>
      <c r="FU181" s="21"/>
      <c r="FV181" s="21"/>
      <c r="FW181" s="168">
        <v>1091000</v>
      </c>
      <c r="FX181" s="168">
        <v>229000</v>
      </c>
      <c r="FY181" s="21"/>
      <c r="FZ181" s="21"/>
      <c r="GA181" s="21"/>
      <c r="GB181" s="21"/>
      <c r="GC181" s="21"/>
      <c r="GD181" s="21"/>
      <c r="GE181" s="21"/>
      <c r="GF181" s="21"/>
      <c r="GG181" s="21"/>
      <c r="GH181" s="21"/>
      <c r="GI181" s="21"/>
      <c r="GJ181" s="21"/>
      <c r="GK181" s="21"/>
      <c r="GL181" s="21"/>
      <c r="GM181" s="168">
        <v>235000</v>
      </c>
      <c r="GN181" s="168">
        <v>1094000</v>
      </c>
      <c r="GO181" s="168">
        <v>677000</v>
      </c>
      <c r="GP181" s="168">
        <v>1501000</v>
      </c>
      <c r="GQ181" s="21"/>
      <c r="GR181" s="21"/>
      <c r="GS181" s="168">
        <v>-235000</v>
      </c>
      <c r="GT181" s="168">
        <v>887000</v>
      </c>
      <c r="GU181" s="21"/>
      <c r="GV181" s="21"/>
      <c r="GW181" s="21"/>
      <c r="GX181" s="21"/>
      <c r="GY181" s="21"/>
      <c r="GZ181" s="21"/>
      <c r="HA181" s="21"/>
      <c r="HB181" s="21"/>
      <c r="HC181" s="168">
        <v>-5735000</v>
      </c>
      <c r="HD181" s="168">
        <v>-6078000</v>
      </c>
      <c r="HE181" s="168">
        <v>-193000</v>
      </c>
      <c r="HF181" s="168">
        <v>-47000</v>
      </c>
      <c r="HG181" s="21"/>
      <c r="HH181" s="21"/>
      <c r="HI181" s="168">
        <v>503000</v>
      </c>
      <c r="HJ181" s="168">
        <v>414000</v>
      </c>
      <c r="HK181" s="21"/>
      <c r="HL181" s="21"/>
      <c r="HM181" s="21"/>
      <c r="HN181" s="21"/>
      <c r="HO181" s="21"/>
      <c r="HP181" s="21"/>
      <c r="HQ181" s="21"/>
      <c r="HR181" s="21"/>
      <c r="HS181" s="21"/>
      <c r="HT181" s="21"/>
      <c r="HU181" s="21"/>
      <c r="HV181" s="21"/>
      <c r="HW181" s="21"/>
      <c r="HX181" s="21"/>
      <c r="HY181" s="21"/>
      <c r="HZ181" s="21"/>
      <c r="IA181" s="21"/>
      <c r="IB181" s="21"/>
      <c r="IC181" s="21"/>
      <c r="ID181" s="21"/>
      <c r="IE181" s="168">
        <v>-732000</v>
      </c>
      <c r="IF181" s="168">
        <v>-831000</v>
      </c>
      <c r="IG181" s="21"/>
      <c r="IH181" s="21"/>
      <c r="II181" s="21"/>
      <c r="IJ181" s="21"/>
      <c r="IK181" s="21"/>
      <c r="IL181" s="21"/>
      <c r="IM181" s="21"/>
      <c r="IN181" s="21"/>
      <c r="IO181" s="21"/>
      <c r="IP181" s="21"/>
      <c r="IQ181" s="21"/>
      <c r="IR181" s="21"/>
      <c r="IS181" s="21"/>
      <c r="IT181" s="21"/>
      <c r="IU181" s="168">
        <v>-358000</v>
      </c>
      <c r="IV181" s="168">
        <v>1061000</v>
      </c>
      <c r="IW181" s="168">
        <v>213000</v>
      </c>
      <c r="IX181" s="168">
        <v>1667000</v>
      </c>
      <c r="IY181" s="168">
        <v>-571000</v>
      </c>
      <c r="IZ181" s="168">
        <v>-606000</v>
      </c>
      <c r="JA181" s="21"/>
      <c r="JB181" s="21"/>
      <c r="JC181" s="21"/>
      <c r="JD181" s="21"/>
      <c r="JE181" s="21"/>
      <c r="JF181" s="21"/>
      <c r="JG181" s="21"/>
      <c r="JH181" s="21"/>
      <c r="JI181" s="21"/>
      <c r="JJ181" s="21"/>
      <c r="JK181" s="21"/>
      <c r="JL181" s="21"/>
      <c r="JM181" s="21"/>
      <c r="JN181" s="21"/>
      <c r="JO181" s="21"/>
      <c r="JP181" s="21"/>
      <c r="JQ181" s="21"/>
      <c r="JR181" s="21"/>
      <c r="JS181" s="21"/>
      <c r="JT181" s="21"/>
      <c r="JU181" s="21"/>
      <c r="JV181" s="21"/>
      <c r="JW181" s="168">
        <v>73747000</v>
      </c>
      <c r="JX181" s="168">
        <v>91240000</v>
      </c>
      <c r="JY181" s="21"/>
      <c r="JZ181" s="21"/>
      <c r="KA181" s="21"/>
      <c r="KB181" s="21"/>
      <c r="KC181" s="21"/>
      <c r="KD181" s="21"/>
      <c r="KE181" s="21"/>
      <c r="KF181" s="21"/>
      <c r="KG181" s="21"/>
      <c r="KH181" s="21"/>
      <c r="KI181" s="168">
        <v>63051000</v>
      </c>
      <c r="KJ181" s="168">
        <v>80184000</v>
      </c>
      <c r="KK181" s="21"/>
      <c r="KL181" s="21"/>
      <c r="KM181" s="21"/>
      <c r="KN181" s="21"/>
      <c r="KO181" s="21"/>
      <c r="KP181" s="21"/>
      <c r="KQ181" s="21"/>
      <c r="KR181" s="21"/>
      <c r="KS181" s="21"/>
      <c r="KT181" s="21"/>
      <c r="KU181" s="21"/>
      <c r="KV181" s="21"/>
      <c r="KW181" s="21"/>
      <c r="KX181" s="21"/>
      <c r="KY181" s="21"/>
      <c r="KZ181" s="21"/>
      <c r="LA181" s="168">
        <v>646000</v>
      </c>
      <c r="LB181" s="168">
        <v>646000</v>
      </c>
      <c r="LC181" s="21"/>
      <c r="LD181" s="21"/>
      <c r="LE181" s="21"/>
      <c r="LF181" s="21"/>
      <c r="LG181" s="21"/>
      <c r="LH181" s="21"/>
      <c r="LI181" s="21"/>
      <c r="LJ181" s="21"/>
      <c r="LK181" s="168">
        <v>7874000</v>
      </c>
      <c r="LL181" s="168">
        <v>11514000</v>
      </c>
      <c r="LM181" s="21"/>
      <c r="LN181" s="21"/>
      <c r="LO181" s="21"/>
      <c r="LP181" s="21"/>
      <c r="LQ181" s="21"/>
      <c r="LR181" s="21"/>
      <c r="LS181" s="21"/>
      <c r="LT181" s="21"/>
      <c r="LU181" s="21"/>
      <c r="LV181" s="21"/>
      <c r="LW181" s="21"/>
      <c r="LX181" s="21"/>
      <c r="LY181" s="21"/>
      <c r="LZ181" s="21"/>
      <c r="MA181" s="21"/>
      <c r="MB181" s="21"/>
      <c r="MC181" s="168">
        <v>20861000</v>
      </c>
      <c r="MD181" s="168">
        <v>24474000</v>
      </c>
      <c r="ME181" s="21"/>
      <c r="MF181" s="21"/>
      <c r="MG181" s="168">
        <v>563000</v>
      </c>
      <c r="MH181" s="168">
        <v>793000</v>
      </c>
      <c r="MI181" s="21"/>
      <c r="MJ181" s="21"/>
      <c r="MK181" s="21"/>
      <c r="ML181" s="21"/>
      <c r="MM181" s="21"/>
      <c r="MN181" s="21"/>
      <c r="MO181" s="21"/>
      <c r="MP181" s="21"/>
      <c r="MQ181" s="21"/>
      <c r="MR181" s="21"/>
      <c r="MS181" s="21"/>
      <c r="MT181" s="21"/>
      <c r="MU181" s="21"/>
      <c r="MV181" s="21"/>
      <c r="MW181" s="21"/>
      <c r="MX181" s="21"/>
      <c r="MY181" s="21"/>
      <c r="MZ181" s="21"/>
      <c r="NA181" s="21"/>
      <c r="NB181" s="21"/>
      <c r="NC181" s="168">
        <v>-235000</v>
      </c>
      <c r="ND181" s="168">
        <v>887000</v>
      </c>
      <c r="NE181" s="21"/>
      <c r="NF181" s="21"/>
      <c r="NG181" s="168">
        <v>8064000</v>
      </c>
      <c r="NH181" s="168">
        <v>8297000</v>
      </c>
      <c r="NI181" s="21"/>
      <c r="NJ181" s="21"/>
      <c r="NK181" s="168">
        <v>1960000</v>
      </c>
      <c r="NL181" s="168">
        <v>1745000</v>
      </c>
      <c r="NM181" s="168">
        <v>33702000</v>
      </c>
      <c r="NN181" s="168">
        <v>41645000</v>
      </c>
      <c r="NO181" s="168">
        <v>44539000</v>
      </c>
      <c r="NP181" s="168">
        <v>52662000</v>
      </c>
      <c r="NQ181" s="168" t="s">
        <v>1281</v>
      </c>
      <c r="NR181" s="168" t="s">
        <v>797</v>
      </c>
      <c r="NS181" s="168" t="s">
        <v>770</v>
      </c>
      <c r="NT181" s="168" t="s">
        <v>771</v>
      </c>
      <c r="NU181" s="168">
        <v>7702</v>
      </c>
      <c r="NV181" s="168" t="s">
        <v>2104</v>
      </c>
      <c r="NW181" s="168" t="s">
        <v>28</v>
      </c>
      <c r="NX181" s="168" t="s">
        <v>25</v>
      </c>
      <c r="NY181" s="169">
        <v>42825</v>
      </c>
      <c r="NZ181" s="169">
        <v>42460</v>
      </c>
      <c r="OA181" s="169">
        <v>43052</v>
      </c>
      <c r="OB181" s="168" t="s">
        <v>1282</v>
      </c>
      <c r="OC181" s="168">
        <v>12</v>
      </c>
      <c r="OD181" s="168" t="s">
        <v>2105</v>
      </c>
      <c r="OE181" s="168" t="s">
        <v>2294</v>
      </c>
      <c r="OF181" s="168" t="s">
        <v>2426</v>
      </c>
      <c r="OG181" s="168" t="s">
        <v>1951</v>
      </c>
      <c r="OH181" s="168" t="s">
        <v>1048</v>
      </c>
      <c r="OI181" s="168" t="s">
        <v>766</v>
      </c>
      <c r="OJ181" s="168" t="s">
        <v>3240</v>
      </c>
      <c r="OK181" s="168" t="s">
        <v>796</v>
      </c>
    </row>
    <row r="182" spans="1:401" x14ac:dyDescent="0.2">
      <c r="A182" s="170" t="str">
        <f>Liste[[#This Row],[Siren]]</f>
        <v>788450260</v>
      </c>
      <c r="B182" s="198" t="str">
        <f>Liste[[#This Row],[Dénomination]]&amp;" - comptes "&amp;YEAR(Liste[[#This Row],[Date de cloture de l''exercice]])</f>
        <v>CW FINANCE - comptes 2017</v>
      </c>
      <c r="C182" s="21"/>
      <c r="D182" s="21"/>
      <c r="E182" s="21"/>
      <c r="F182" s="168">
        <v>2235243</v>
      </c>
      <c r="G182" s="168">
        <v>893516</v>
      </c>
      <c r="H182" s="168">
        <v>2235243</v>
      </c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168">
        <v>250008</v>
      </c>
      <c r="BA182" s="168">
        <v>32624</v>
      </c>
      <c r="BB182" s="168">
        <v>250008</v>
      </c>
      <c r="BC182" s="168">
        <v>6876</v>
      </c>
      <c r="BD182" s="168">
        <v>26868890</v>
      </c>
      <c r="BE182" s="168">
        <v>19344588</v>
      </c>
      <c r="BF182" s="168">
        <v>26875766</v>
      </c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168">
        <v>3993682</v>
      </c>
      <c r="BY182" s="168">
        <v>3272150</v>
      </c>
      <c r="BZ182" s="168">
        <v>3993682</v>
      </c>
      <c r="CA182" s="21"/>
      <c r="CB182" s="21"/>
      <c r="CC182" s="21"/>
      <c r="CD182" s="168">
        <v>3330565</v>
      </c>
      <c r="CE182" s="168">
        <v>6661130</v>
      </c>
      <c r="CF182" s="168">
        <v>7327243</v>
      </c>
      <c r="CG182" s="168">
        <v>9991695</v>
      </c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168">
        <v>9491744</v>
      </c>
      <c r="EL182" s="168">
        <v>13017169</v>
      </c>
      <c r="EM182" s="168">
        <v>13818400</v>
      </c>
      <c r="EN182" s="168">
        <v>22508915</v>
      </c>
      <c r="EO182" s="168">
        <v>6876</v>
      </c>
      <c r="EP182" s="168">
        <v>35625261</v>
      </c>
      <c r="EQ182" s="168">
        <v>25800088</v>
      </c>
      <c r="ER182" s="168">
        <v>35632137</v>
      </c>
      <c r="ES182" s="168">
        <v>9498620</v>
      </c>
      <c r="ET182" s="168">
        <v>48642427</v>
      </c>
      <c r="EU182" s="168">
        <v>39618488</v>
      </c>
      <c r="EV182" s="168">
        <v>58141052</v>
      </c>
      <c r="EW182" s="21"/>
      <c r="EX182" s="21"/>
      <c r="EY182" s="21"/>
      <c r="EZ182" s="21"/>
      <c r="FA182" s="21"/>
      <c r="FB182" s="21"/>
      <c r="FC182" s="21"/>
      <c r="FD182" s="21"/>
      <c r="FE182" s="21"/>
      <c r="FF182" s="168">
        <v>1752067</v>
      </c>
      <c r="FG182" s="168">
        <v>1750000</v>
      </c>
      <c r="FH182" s="168">
        <v>1752067</v>
      </c>
      <c r="FI182" s="21"/>
      <c r="FJ182" s="21"/>
      <c r="FK182" s="21"/>
      <c r="FL182" s="21"/>
      <c r="FM182" s="21"/>
      <c r="FN182" s="21"/>
      <c r="FO182" s="21"/>
      <c r="FP182" s="21"/>
      <c r="FQ182" s="168">
        <v>-666113</v>
      </c>
      <c r="FR182" s="168">
        <v>-666113</v>
      </c>
      <c r="FS182" s="21"/>
      <c r="FT182" s="21"/>
      <c r="FU182" s="168">
        <v>625</v>
      </c>
      <c r="FV182" s="168">
        <v>8366</v>
      </c>
      <c r="FW182" s="21"/>
      <c r="FX182" s="21"/>
      <c r="FY182" s="21"/>
      <c r="FZ182" s="21"/>
      <c r="GA182" s="21"/>
      <c r="GB182" s="21"/>
      <c r="GC182" s="21"/>
      <c r="GD182" s="21"/>
      <c r="GE182" s="21"/>
      <c r="GF182" s="21"/>
      <c r="GG182" s="21"/>
      <c r="GH182" s="21"/>
      <c r="GI182" s="21"/>
      <c r="GJ182" s="21"/>
      <c r="GK182" s="21"/>
      <c r="GL182" s="21"/>
      <c r="GM182" s="21"/>
      <c r="GN182" s="21"/>
      <c r="GO182" s="168">
        <v>-506217</v>
      </c>
      <c r="GP182" s="168">
        <v>722014</v>
      </c>
      <c r="GQ182" s="21"/>
      <c r="GR182" s="21"/>
      <c r="GS182" s="168">
        <v>-506217</v>
      </c>
      <c r="GT182" s="168">
        <v>722014</v>
      </c>
      <c r="GU182" s="168">
        <v>-776530</v>
      </c>
      <c r="GV182" s="168">
        <v>-274455</v>
      </c>
      <c r="GW182" s="168">
        <v>775035</v>
      </c>
      <c r="GX182" s="168">
        <v>183576</v>
      </c>
      <c r="GY182" s="21"/>
      <c r="GZ182" s="21"/>
      <c r="HA182" s="21"/>
      <c r="HB182" s="21"/>
      <c r="HC182" s="21"/>
      <c r="HD182" s="21"/>
      <c r="HE182" s="21"/>
      <c r="HF182" s="21"/>
      <c r="HG182" s="21"/>
      <c r="HH182" s="21"/>
      <c r="HI182" s="21"/>
      <c r="HJ182" s="21"/>
      <c r="HK182" s="21"/>
      <c r="HL182" s="21"/>
      <c r="HM182" s="21"/>
      <c r="HN182" s="21"/>
      <c r="HO182" s="168">
        <v>-7164873</v>
      </c>
      <c r="HP182" s="168">
        <v>-6565122</v>
      </c>
      <c r="HQ182" s="21"/>
      <c r="HR182" s="21"/>
      <c r="HS182" s="21"/>
      <c r="HT182" s="21"/>
      <c r="HU182" s="21"/>
      <c r="HV182" s="21"/>
      <c r="HW182" s="21"/>
      <c r="HX182" s="21"/>
      <c r="HY182" s="21"/>
      <c r="HZ182" s="21"/>
      <c r="IA182" s="21"/>
      <c r="IB182" s="21"/>
      <c r="IC182" s="21"/>
      <c r="ID182" s="21"/>
      <c r="IE182" s="21"/>
      <c r="IF182" s="21"/>
      <c r="IG182" s="21"/>
      <c r="IH182" s="21"/>
      <c r="II182" s="21"/>
      <c r="IJ182" s="21"/>
      <c r="IK182" s="168">
        <v>218900</v>
      </c>
      <c r="IL182" s="168">
        <v>96990</v>
      </c>
      <c r="IM182" s="21"/>
      <c r="IN182" s="21"/>
      <c r="IO182" s="21"/>
      <c r="IP182" s="21"/>
      <c r="IQ182" s="21"/>
      <c r="IR182" s="21"/>
      <c r="IS182" s="21"/>
      <c r="IT182" s="21"/>
      <c r="IU182" s="21"/>
      <c r="IV182" s="21"/>
      <c r="IW182" s="21"/>
      <c r="IX182" s="21"/>
      <c r="IY182" s="168">
        <v>-17936</v>
      </c>
      <c r="IZ182" s="168">
        <v>-35160</v>
      </c>
      <c r="JA182" s="21"/>
      <c r="JB182" s="21"/>
      <c r="JC182" s="21"/>
      <c r="JD182" s="21"/>
      <c r="JE182" s="21"/>
      <c r="JF182" s="21"/>
      <c r="JG182" s="21"/>
      <c r="JH182" s="21"/>
      <c r="JI182" s="21"/>
      <c r="JJ182" s="21"/>
      <c r="JK182" s="168">
        <v>-77298</v>
      </c>
      <c r="JL182" s="168">
        <v>-63602</v>
      </c>
      <c r="JM182" s="21"/>
      <c r="JN182" s="21"/>
      <c r="JO182" s="168">
        <v>59362</v>
      </c>
      <c r="JP182" s="168">
        <v>28442</v>
      </c>
      <c r="JQ182" s="21"/>
      <c r="JR182" s="21"/>
      <c r="JS182" s="21"/>
      <c r="JT182" s="21"/>
      <c r="JU182" s="21"/>
      <c r="JV182" s="21"/>
      <c r="JW182" s="168">
        <v>48313885</v>
      </c>
      <c r="JX182" s="168">
        <v>45276293</v>
      </c>
      <c r="JY182" s="21"/>
      <c r="JZ182" s="21"/>
      <c r="KA182" s="21"/>
      <c r="KB182" s="21"/>
      <c r="KC182" s="21"/>
      <c r="KD182" s="21"/>
      <c r="KE182" s="21"/>
      <c r="KF182" s="21"/>
      <c r="KG182" s="21"/>
      <c r="KH182" s="21"/>
      <c r="KI182" s="168">
        <v>83285</v>
      </c>
      <c r="KJ182" s="168">
        <v>38609</v>
      </c>
      <c r="KK182" s="21"/>
      <c r="KL182" s="21"/>
      <c r="KM182" s="21"/>
      <c r="KN182" s="21"/>
      <c r="KO182" s="21"/>
      <c r="KP182" s="21"/>
      <c r="KQ182" s="168">
        <v>20088479</v>
      </c>
      <c r="KR182" s="168">
        <v>10473075</v>
      </c>
      <c r="KS182" s="21"/>
      <c r="KT182" s="21"/>
      <c r="KU182" s="21"/>
      <c r="KV182" s="21"/>
      <c r="KW182" s="21"/>
      <c r="KX182" s="21"/>
      <c r="KY182" s="21"/>
      <c r="KZ182" s="21"/>
      <c r="LA182" s="168">
        <v>11210958</v>
      </c>
      <c r="LB182" s="168">
        <v>11210958</v>
      </c>
      <c r="LC182" s="21"/>
      <c r="LD182" s="21"/>
      <c r="LE182" s="21"/>
      <c r="LF182" s="21"/>
      <c r="LG182" s="21"/>
      <c r="LH182" s="21"/>
      <c r="LI182" s="168">
        <v>2373854</v>
      </c>
      <c r="LJ182" s="168">
        <v>2651685</v>
      </c>
      <c r="LK182" s="168">
        <v>9243175</v>
      </c>
      <c r="LL182" s="168">
        <v>9446914</v>
      </c>
      <c r="LM182" s="21"/>
      <c r="LN182" s="21"/>
      <c r="LO182" s="21"/>
      <c r="LP182" s="21"/>
      <c r="LQ182" s="21"/>
      <c r="LR182" s="21"/>
      <c r="LS182" s="21"/>
      <c r="LT182" s="21"/>
      <c r="LU182" s="21"/>
      <c r="LV182" s="21"/>
      <c r="LW182" s="21"/>
      <c r="LX182" s="21"/>
      <c r="LY182" s="21"/>
      <c r="LZ182" s="21"/>
      <c r="MA182" s="168">
        <v>1506833</v>
      </c>
      <c r="MB182" s="168">
        <v>1969738</v>
      </c>
      <c r="MC182" s="168">
        <v>248700</v>
      </c>
      <c r="MD182" s="168">
        <v>279180</v>
      </c>
      <c r="ME182" s="21"/>
      <c r="MF182" s="21"/>
      <c r="MG182" s="21"/>
      <c r="MH182" s="21"/>
      <c r="MI182" s="168">
        <v>1047488</v>
      </c>
      <c r="MJ182" s="168">
        <v>1047489</v>
      </c>
      <c r="MK182" s="21"/>
      <c r="ML182" s="21"/>
      <c r="MM182" s="21"/>
      <c r="MN182" s="21"/>
      <c r="MO182" s="21"/>
      <c r="MP182" s="21"/>
      <c r="MQ182" s="21"/>
      <c r="MR182" s="21"/>
      <c r="MS182" s="21"/>
      <c r="MT182" s="21"/>
      <c r="MU182" s="21"/>
      <c r="MV182" s="21"/>
      <c r="MW182" s="21"/>
      <c r="MX182" s="21"/>
      <c r="MY182" s="21"/>
      <c r="MZ182" s="21"/>
      <c r="NA182" s="21"/>
      <c r="NB182" s="21"/>
      <c r="NC182" s="168">
        <v>14087850</v>
      </c>
      <c r="ND182" s="168">
        <v>14596849</v>
      </c>
      <c r="NE182" s="21"/>
      <c r="NF182" s="21"/>
      <c r="NG182" s="168">
        <v>14087850</v>
      </c>
      <c r="NH182" s="168">
        <v>14596849</v>
      </c>
      <c r="NI182" s="21"/>
      <c r="NJ182" s="21"/>
      <c r="NK182" s="21"/>
      <c r="NL182" s="21"/>
      <c r="NM182" s="168">
        <v>33461041</v>
      </c>
      <c r="NN182" s="168">
        <v>24820592</v>
      </c>
      <c r="NO182" s="168">
        <v>48642427</v>
      </c>
      <c r="NP182" s="168">
        <v>39618488</v>
      </c>
      <c r="NQ182" s="168" t="s">
        <v>1283</v>
      </c>
      <c r="NR182" s="168" t="s">
        <v>769</v>
      </c>
      <c r="NS182" s="168" t="s">
        <v>770</v>
      </c>
      <c r="NT182" s="168" t="s">
        <v>771</v>
      </c>
      <c r="NU182" s="168">
        <v>1303</v>
      </c>
      <c r="NV182" s="168" t="s">
        <v>2104</v>
      </c>
      <c r="NW182" s="168" t="s">
        <v>28</v>
      </c>
      <c r="NX182" s="168" t="s">
        <v>25</v>
      </c>
      <c r="NY182" s="169">
        <v>42825</v>
      </c>
      <c r="NZ182" s="169">
        <v>42460</v>
      </c>
      <c r="OA182" s="169">
        <v>43026</v>
      </c>
      <c r="OB182" s="168" t="s">
        <v>1284</v>
      </c>
      <c r="OC182" s="168">
        <v>12</v>
      </c>
      <c r="OD182" s="168" t="s">
        <v>2105</v>
      </c>
      <c r="OE182" s="168" t="s">
        <v>2427</v>
      </c>
      <c r="OF182" s="168" t="s">
        <v>2428</v>
      </c>
      <c r="OG182" s="168" t="s">
        <v>1952</v>
      </c>
      <c r="OH182" s="168" t="s">
        <v>967</v>
      </c>
      <c r="OI182" s="168" t="s">
        <v>766</v>
      </c>
      <c r="OJ182" s="168" t="s">
        <v>3240</v>
      </c>
      <c r="OK182" s="168" t="s">
        <v>767</v>
      </c>
    </row>
    <row r="183" spans="1:401" x14ac:dyDescent="0.2">
      <c r="A183" s="170" t="str">
        <f>Liste[[#This Row],[Siren]]</f>
        <v>507806388</v>
      </c>
      <c r="B183" s="198" t="str">
        <f>Liste[[#This Row],[Dénomination]]&amp;" - comptes "&amp;YEAR(Liste[[#This Row],[Date de cloture de l''exercice]])</f>
        <v>VIRY EXPANSION - comptes 2017</v>
      </c>
      <c r="C183" s="21"/>
      <c r="D183" s="21"/>
      <c r="E183" s="168">
        <v>207006</v>
      </c>
      <c r="F183" s="168">
        <v>3596239</v>
      </c>
      <c r="G183" s="168">
        <v>3671650</v>
      </c>
      <c r="H183" s="168">
        <v>3803245</v>
      </c>
      <c r="I183" s="168">
        <v>4543956</v>
      </c>
      <c r="J183" s="168">
        <v>692685</v>
      </c>
      <c r="K183" s="168">
        <v>650194</v>
      </c>
      <c r="L183" s="168">
        <v>5236641</v>
      </c>
      <c r="M183" s="21"/>
      <c r="N183" s="168">
        <v>58040</v>
      </c>
      <c r="O183" s="168">
        <v>67688</v>
      </c>
      <c r="P183" s="168">
        <v>58040</v>
      </c>
      <c r="Q183" s="168">
        <v>106167</v>
      </c>
      <c r="R183" s="21"/>
      <c r="S183" s="168">
        <v>92</v>
      </c>
      <c r="T183" s="168">
        <v>106167</v>
      </c>
      <c r="U183" s="21"/>
      <c r="V183" s="21"/>
      <c r="W183" s="21"/>
      <c r="X183" s="21"/>
      <c r="Y183" s="21"/>
      <c r="Z183" s="168">
        <v>4118888</v>
      </c>
      <c r="AA183" s="168">
        <v>3970954</v>
      </c>
      <c r="AB183" s="168">
        <v>4118888</v>
      </c>
      <c r="AC183" s="21"/>
      <c r="AD183" s="168">
        <v>28981</v>
      </c>
      <c r="AE183" s="21"/>
      <c r="AF183" s="168">
        <v>28981</v>
      </c>
      <c r="AG183" s="21"/>
      <c r="AH183" s="21"/>
      <c r="AI183" s="21"/>
      <c r="AJ183" s="21"/>
      <c r="AK183" s="21"/>
      <c r="AL183" s="168">
        <v>282</v>
      </c>
      <c r="AM183" s="168">
        <v>6154</v>
      </c>
      <c r="AN183" s="168">
        <v>282</v>
      </c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168">
        <v>544215</v>
      </c>
      <c r="BA183" s="168">
        <v>416982</v>
      </c>
      <c r="BB183" s="168">
        <v>544215</v>
      </c>
      <c r="BC183" s="168">
        <v>302341</v>
      </c>
      <c r="BD183" s="168">
        <v>608090</v>
      </c>
      <c r="BE183" s="168">
        <v>529951</v>
      </c>
      <c r="BF183" s="168">
        <v>910431</v>
      </c>
      <c r="BG183" s="168">
        <v>90274</v>
      </c>
      <c r="BH183" s="168">
        <v>6770</v>
      </c>
      <c r="BI183" s="168">
        <v>2763</v>
      </c>
      <c r="BJ183" s="168">
        <v>97044</v>
      </c>
      <c r="BK183" s="168">
        <v>5635966</v>
      </c>
      <c r="BL183" s="168">
        <v>10030601</v>
      </c>
      <c r="BM183" s="168">
        <v>10612587</v>
      </c>
      <c r="BN183" s="168">
        <v>15666567</v>
      </c>
      <c r="BO183" s="21"/>
      <c r="BP183" s="21"/>
      <c r="BQ183" s="21"/>
      <c r="BR183" s="21"/>
      <c r="BS183" s="21"/>
      <c r="BT183" s="21"/>
      <c r="BU183" s="21"/>
      <c r="BV183" s="21"/>
      <c r="BW183" s="21"/>
      <c r="BX183" s="168">
        <v>1037804</v>
      </c>
      <c r="BY183" s="168">
        <v>923333</v>
      </c>
      <c r="BZ183" s="168">
        <v>1037804</v>
      </c>
      <c r="CA183" s="21"/>
      <c r="CB183" s="21"/>
      <c r="CC183" s="21"/>
      <c r="CD183" s="168">
        <v>5159760</v>
      </c>
      <c r="CE183" s="168">
        <v>19230141</v>
      </c>
      <c r="CF183" s="168">
        <v>20192617</v>
      </c>
      <c r="CG183" s="168">
        <v>24389901</v>
      </c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168">
        <v>44972</v>
      </c>
      <c r="DE183" s="21"/>
      <c r="DF183" s="168">
        <v>4038638</v>
      </c>
      <c r="DG183" s="168">
        <v>896628</v>
      </c>
      <c r="DH183" s="168">
        <v>779655</v>
      </c>
      <c r="DI183" s="168">
        <v>4935266</v>
      </c>
      <c r="DJ183" s="168">
        <v>136687</v>
      </c>
      <c r="DK183" s="168">
        <v>6686238</v>
      </c>
      <c r="DL183" s="168">
        <v>6624830</v>
      </c>
      <c r="DM183" s="168">
        <v>6822925</v>
      </c>
      <c r="DN183" s="21"/>
      <c r="DO183" s="21"/>
      <c r="DP183" s="21"/>
      <c r="DQ183" s="21"/>
      <c r="DR183" s="21"/>
      <c r="DS183" s="21"/>
      <c r="DT183" s="21"/>
      <c r="DU183" s="21"/>
      <c r="DV183" s="21"/>
      <c r="DW183" s="168">
        <v>4207</v>
      </c>
      <c r="DX183" s="21"/>
      <c r="DY183" s="168">
        <v>4207</v>
      </c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168">
        <v>14415001</v>
      </c>
      <c r="EL183" s="168">
        <v>15836800</v>
      </c>
      <c r="EM183" s="168">
        <v>16128905</v>
      </c>
      <c r="EN183" s="168">
        <v>30251801</v>
      </c>
      <c r="EO183" s="168">
        <v>646034</v>
      </c>
      <c r="EP183" s="168">
        <v>12902997</v>
      </c>
      <c r="EQ183" s="168">
        <v>12614337</v>
      </c>
      <c r="ER183" s="168">
        <v>13549031</v>
      </c>
      <c r="ES183" s="168">
        <v>20220795</v>
      </c>
      <c r="ET183" s="168">
        <v>47969938</v>
      </c>
      <c r="EU183" s="168">
        <v>48935860</v>
      </c>
      <c r="EV183" s="168">
        <v>68190732</v>
      </c>
      <c r="EW183" s="21"/>
      <c r="EX183" s="21"/>
      <c r="EY183" s="21"/>
      <c r="EZ183" s="21"/>
      <c r="FA183" s="21"/>
      <c r="FB183" s="21"/>
      <c r="FC183" s="21"/>
      <c r="FD183" s="21"/>
      <c r="FE183" s="21"/>
      <c r="FF183" s="168">
        <v>218831</v>
      </c>
      <c r="FG183" s="168">
        <v>218831</v>
      </c>
      <c r="FH183" s="168">
        <v>218831</v>
      </c>
      <c r="FI183" s="168">
        <v>44840</v>
      </c>
      <c r="FJ183" s="168">
        <v>357807</v>
      </c>
      <c r="FK183" s="168">
        <v>1035406</v>
      </c>
      <c r="FL183" s="168">
        <v>1035406</v>
      </c>
      <c r="FM183" s="168">
        <v>3750</v>
      </c>
      <c r="FN183" s="168">
        <v>257270</v>
      </c>
      <c r="FO183" s="21"/>
      <c r="FP183" s="168">
        <v>28</v>
      </c>
      <c r="FQ183" s="21"/>
      <c r="FR183" s="21"/>
      <c r="FS183" s="21"/>
      <c r="FT183" s="21"/>
      <c r="FU183" s="168">
        <v>11308</v>
      </c>
      <c r="FV183" s="168">
        <v>-78699</v>
      </c>
      <c r="FW183" s="168">
        <v>-152916</v>
      </c>
      <c r="FX183" s="168">
        <v>-160601</v>
      </c>
      <c r="FY183" s="168">
        <v>10475</v>
      </c>
      <c r="FZ183" s="168">
        <v>47043</v>
      </c>
      <c r="GA183" s="21"/>
      <c r="GB183" s="21"/>
      <c r="GC183" s="168">
        <v>48590</v>
      </c>
      <c r="GD183" s="168">
        <v>415300</v>
      </c>
      <c r="GE183" s="21"/>
      <c r="GF183" s="168">
        <v>426</v>
      </c>
      <c r="GG183" s="21"/>
      <c r="GH183" s="21"/>
      <c r="GI183" s="21"/>
      <c r="GJ183" s="21"/>
      <c r="GK183" s="21"/>
      <c r="GL183" s="168">
        <v>199379</v>
      </c>
      <c r="GM183" s="168">
        <v>1035640</v>
      </c>
      <c r="GN183" s="168">
        <v>925505</v>
      </c>
      <c r="GO183" s="168">
        <v>2071038</v>
      </c>
      <c r="GP183" s="168">
        <v>1960911</v>
      </c>
      <c r="GQ183" s="21"/>
      <c r="GR183" s="21"/>
      <c r="GS183" s="168">
        <v>1025165</v>
      </c>
      <c r="GT183" s="168">
        <v>878462</v>
      </c>
      <c r="GU183" s="168">
        <v>3750</v>
      </c>
      <c r="GV183" s="168">
        <v>257298</v>
      </c>
      <c r="GW183" s="168">
        <v>48590</v>
      </c>
      <c r="GX183" s="168">
        <v>615105</v>
      </c>
      <c r="GY183" s="168">
        <v>72045122</v>
      </c>
      <c r="GZ183" s="168">
        <v>74169186</v>
      </c>
      <c r="HA183" s="168">
        <v>176379</v>
      </c>
      <c r="HB183" s="168">
        <v>197690</v>
      </c>
      <c r="HC183" s="168">
        <v>7537770</v>
      </c>
      <c r="HD183" s="168">
        <v>7477670</v>
      </c>
      <c r="HE183" s="168">
        <v>114244</v>
      </c>
      <c r="HF183" s="168">
        <v>28832</v>
      </c>
      <c r="HG183" s="168">
        <v>23617</v>
      </c>
      <c r="HH183" s="168">
        <v>19834</v>
      </c>
      <c r="HI183" s="168">
        <v>70292</v>
      </c>
      <c r="HJ183" s="168">
        <v>57509</v>
      </c>
      <c r="HK183" s="21"/>
      <c r="HL183" s="21"/>
      <c r="HM183" s="21"/>
      <c r="HN183" s="21"/>
      <c r="HO183" s="168">
        <v>2723782</v>
      </c>
      <c r="HP183" s="168">
        <v>2612914</v>
      </c>
      <c r="HQ183" s="21"/>
      <c r="HR183" s="21"/>
      <c r="HS183" s="21"/>
      <c r="HT183" s="21"/>
      <c r="HU183" s="168">
        <v>1021131</v>
      </c>
      <c r="HV183" s="168">
        <v>987759</v>
      </c>
      <c r="HW183" s="21"/>
      <c r="HX183" s="21"/>
      <c r="HY183" s="168">
        <v>69510</v>
      </c>
      <c r="HZ183" s="168">
        <v>225838</v>
      </c>
      <c r="IA183" s="168">
        <v>162900</v>
      </c>
      <c r="IB183" s="168">
        <v>250375</v>
      </c>
      <c r="IC183" s="21"/>
      <c r="ID183" s="21"/>
      <c r="IE183" s="168">
        <v>1672524</v>
      </c>
      <c r="IF183" s="168">
        <v>1540446</v>
      </c>
      <c r="IG183" s="168">
        <v>292318</v>
      </c>
      <c r="IH183" s="168">
        <v>306411</v>
      </c>
      <c r="II183" s="168">
        <v>3320</v>
      </c>
      <c r="IJ183" s="168">
        <v>841</v>
      </c>
      <c r="IK183" s="21"/>
      <c r="IL183" s="21"/>
      <c r="IM183" s="21"/>
      <c r="IN183" s="21"/>
      <c r="IO183" s="168">
        <v>145</v>
      </c>
      <c r="IP183" s="168">
        <v>8</v>
      </c>
      <c r="IQ183" s="21"/>
      <c r="IR183" s="21"/>
      <c r="IS183" s="21"/>
      <c r="IT183" s="168">
        <v>236</v>
      </c>
      <c r="IU183" s="168">
        <v>1884590</v>
      </c>
      <c r="IV183" s="168">
        <v>1363804</v>
      </c>
      <c r="IW183" s="168">
        <v>2156461</v>
      </c>
      <c r="IX183" s="168">
        <v>1650983</v>
      </c>
      <c r="IY183" s="168">
        <v>-268551</v>
      </c>
      <c r="IZ183" s="168">
        <v>-286338</v>
      </c>
      <c r="JA183" s="168">
        <v>455483</v>
      </c>
      <c r="JB183" s="168">
        <v>272634</v>
      </c>
      <c r="JC183" s="21"/>
      <c r="JD183" s="21"/>
      <c r="JE183" s="168">
        <v>7177313</v>
      </c>
      <c r="JF183" s="168">
        <v>6717191</v>
      </c>
      <c r="JG183" s="21"/>
      <c r="JH183" s="168">
        <v>4000</v>
      </c>
      <c r="JI183" s="168">
        <v>92608764</v>
      </c>
      <c r="JJ183" s="168">
        <v>93935947</v>
      </c>
      <c r="JK183" s="168">
        <v>292313</v>
      </c>
      <c r="JL183" s="168">
        <v>306417</v>
      </c>
      <c r="JM183" s="168">
        <v>94765225</v>
      </c>
      <c r="JN183" s="168">
        <v>95586930</v>
      </c>
      <c r="JO183" s="168">
        <v>23762</v>
      </c>
      <c r="JP183" s="168">
        <v>20079</v>
      </c>
      <c r="JQ183" s="168">
        <v>-91911</v>
      </c>
      <c r="JR183" s="168">
        <v>-271954</v>
      </c>
      <c r="JS183" s="21"/>
      <c r="JT183" s="21"/>
      <c r="JU183" s="21"/>
      <c r="JV183" s="21"/>
      <c r="JW183" s="168">
        <v>94239450</v>
      </c>
      <c r="JX183" s="168">
        <v>95252787</v>
      </c>
      <c r="JY183" s="21"/>
      <c r="JZ183" s="21"/>
      <c r="KA183" s="168">
        <v>7373063</v>
      </c>
      <c r="KB183" s="168">
        <v>7882216</v>
      </c>
      <c r="KC183" s="21"/>
      <c r="KD183" s="21"/>
      <c r="KE183" s="168">
        <v>2743001</v>
      </c>
      <c r="KF183" s="168">
        <v>2733475</v>
      </c>
      <c r="KG183" s="21"/>
      <c r="KH183" s="21"/>
      <c r="KI183" s="168">
        <v>84123386</v>
      </c>
      <c r="KJ183" s="168">
        <v>84637096</v>
      </c>
      <c r="KK183" s="21"/>
      <c r="KL183" s="21"/>
      <c r="KM183" s="21"/>
      <c r="KN183" s="21"/>
      <c r="KO183" s="21"/>
      <c r="KP183" s="21"/>
      <c r="KQ183" s="168">
        <v>4458149</v>
      </c>
      <c r="KR183" s="168">
        <v>4448229</v>
      </c>
      <c r="KS183" s="21"/>
      <c r="KT183" s="21"/>
      <c r="KU183" s="21"/>
      <c r="KV183" s="21"/>
      <c r="KW183" s="21"/>
      <c r="KX183" s="21"/>
      <c r="KY183" s="168">
        <v>260254</v>
      </c>
      <c r="KZ183" s="168">
        <v>255419</v>
      </c>
      <c r="LA183" s="168">
        <v>40000</v>
      </c>
      <c r="LB183" s="168">
        <v>40000</v>
      </c>
      <c r="LC183" s="21"/>
      <c r="LD183" s="21"/>
      <c r="LE183" s="168">
        <v>10475</v>
      </c>
      <c r="LF183" s="168">
        <v>47043</v>
      </c>
      <c r="LG183" s="21"/>
      <c r="LH183" s="21"/>
      <c r="LI183" s="168">
        <v>2492719</v>
      </c>
      <c r="LJ183" s="168">
        <v>2544456</v>
      </c>
      <c r="LK183" s="168">
        <v>4105904</v>
      </c>
      <c r="LL183" s="168">
        <v>7912915</v>
      </c>
      <c r="LM183" s="168">
        <v>24281</v>
      </c>
      <c r="LN183" s="168">
        <v>668422</v>
      </c>
      <c r="LO183" s="21"/>
      <c r="LP183" s="21"/>
      <c r="LQ183" s="21"/>
      <c r="LR183" s="21"/>
      <c r="LS183" s="21"/>
      <c r="LT183" s="21"/>
      <c r="LU183" s="21"/>
      <c r="LV183" s="21"/>
      <c r="LW183" s="21"/>
      <c r="LX183" s="21"/>
      <c r="LY183" s="21"/>
      <c r="LZ183" s="21"/>
      <c r="MA183" s="168">
        <v>28540887</v>
      </c>
      <c r="MB183" s="168">
        <v>30622182</v>
      </c>
      <c r="MC183" s="168">
        <v>205015</v>
      </c>
      <c r="MD183" s="168">
        <v>281664</v>
      </c>
      <c r="ME183" s="21"/>
      <c r="MF183" s="21"/>
      <c r="MG183" s="21"/>
      <c r="MH183" s="21"/>
      <c r="MI183" s="21"/>
      <c r="MJ183" s="21"/>
      <c r="MK183" s="21"/>
      <c r="ML183" s="21"/>
      <c r="MM183" s="168">
        <v>38294</v>
      </c>
      <c r="MN183" s="168">
        <v>600</v>
      </c>
      <c r="MO183" s="168">
        <v>443590</v>
      </c>
      <c r="MP183" s="168">
        <v>446120</v>
      </c>
      <c r="MQ183" s="168">
        <v>165240</v>
      </c>
      <c r="MR183" s="168">
        <v>224061</v>
      </c>
      <c r="MS183" s="21"/>
      <c r="MT183" s="21"/>
      <c r="MU183" s="21"/>
      <c r="MV183" s="21"/>
      <c r="MW183" s="21"/>
      <c r="MX183" s="21"/>
      <c r="MY183" s="21"/>
      <c r="MZ183" s="21"/>
      <c r="NA183" s="21"/>
      <c r="NB183" s="21"/>
      <c r="NC183" s="168">
        <v>1025165</v>
      </c>
      <c r="ND183" s="168">
        <v>878462</v>
      </c>
      <c r="NE183" s="21"/>
      <c r="NF183" s="21"/>
      <c r="NG183" s="168">
        <v>3150547</v>
      </c>
      <c r="NH183" s="168">
        <v>2119579</v>
      </c>
      <c r="NI183" s="21"/>
      <c r="NJ183" s="21"/>
      <c r="NK183" s="168">
        <v>-8008</v>
      </c>
      <c r="NL183" s="168">
        <v>-89184</v>
      </c>
      <c r="NM183" s="168">
        <v>44125543</v>
      </c>
      <c r="NN183" s="168">
        <v>46133087</v>
      </c>
      <c r="NO183" s="168">
        <v>47969938</v>
      </c>
      <c r="NP183" s="168">
        <v>48935860</v>
      </c>
      <c r="NQ183" s="168" t="s">
        <v>1503</v>
      </c>
      <c r="NR183" s="168" t="s">
        <v>769</v>
      </c>
      <c r="NS183" s="168" t="s">
        <v>770</v>
      </c>
      <c r="NT183" s="168" t="s">
        <v>771</v>
      </c>
      <c r="NU183" s="168">
        <v>7801</v>
      </c>
      <c r="NV183" s="168" t="s">
        <v>2104</v>
      </c>
      <c r="NW183" s="168" t="s">
        <v>28</v>
      </c>
      <c r="NX183" s="168" t="s">
        <v>25</v>
      </c>
      <c r="NY183" s="169">
        <v>42825</v>
      </c>
      <c r="NZ183" s="169">
        <v>42460</v>
      </c>
      <c r="OA183" s="169">
        <v>43089</v>
      </c>
      <c r="OB183" s="168" t="s">
        <v>3347</v>
      </c>
      <c r="OC183" s="168">
        <v>12</v>
      </c>
      <c r="OD183" s="168" t="s">
        <v>2105</v>
      </c>
      <c r="OE183" s="168" t="s">
        <v>3348</v>
      </c>
      <c r="OF183" s="168" t="s">
        <v>3349</v>
      </c>
      <c r="OG183" s="168" t="s">
        <v>3350</v>
      </c>
      <c r="OH183" s="168" t="s">
        <v>772</v>
      </c>
      <c r="OI183" s="168" t="s">
        <v>766</v>
      </c>
      <c r="OJ183" s="168" t="s">
        <v>3240</v>
      </c>
      <c r="OK183" s="168" t="s">
        <v>767</v>
      </c>
    </row>
    <row r="184" spans="1:401" x14ac:dyDescent="0.2">
      <c r="A184" s="170" t="str">
        <f>Liste[[#This Row],[Siren]]</f>
        <v>788635597</v>
      </c>
      <c r="B184" s="198" t="str">
        <f>Liste[[#This Row],[Dénomination]]&amp;" - comptes "&amp;YEAR(Liste[[#This Row],[Date de cloture de l''exercice]])</f>
        <v>ZMFH - comptes 2017</v>
      </c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168">
        <v>15300000</v>
      </c>
      <c r="BE184" s="168">
        <v>16100000</v>
      </c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168">
        <v>8900000</v>
      </c>
      <c r="CF184" s="168">
        <v>8900000</v>
      </c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168">
        <v>22700000</v>
      </c>
      <c r="EM184" s="168">
        <v>24200000</v>
      </c>
      <c r="EN184" s="21"/>
      <c r="EO184" s="21"/>
      <c r="EP184" s="168">
        <v>44000000</v>
      </c>
      <c r="EQ184" s="168">
        <v>38600000</v>
      </c>
      <c r="ER184" s="21"/>
      <c r="ES184" s="21"/>
      <c r="ET184" s="168">
        <v>66600000</v>
      </c>
      <c r="EU184" s="168">
        <v>62200000</v>
      </c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  <c r="FQ184" s="21"/>
      <c r="FR184" s="21"/>
      <c r="FS184" s="21"/>
      <c r="FT184" s="21"/>
      <c r="FU184" s="21"/>
      <c r="FV184" s="21"/>
      <c r="FW184" s="21"/>
      <c r="FX184" s="168">
        <v>500000</v>
      </c>
      <c r="FY184" s="21"/>
      <c r="FZ184" s="21"/>
      <c r="GA184" s="21"/>
      <c r="GB184" s="21"/>
      <c r="GC184" s="21"/>
      <c r="GD184" s="21"/>
      <c r="GE184" s="21"/>
      <c r="GF184" s="21"/>
      <c r="GG184" s="21"/>
      <c r="GH184" s="21"/>
      <c r="GI184" s="21"/>
      <c r="GJ184" s="21"/>
      <c r="GK184" s="21"/>
      <c r="GL184" s="21"/>
      <c r="GM184" s="168">
        <v>300000</v>
      </c>
      <c r="GN184" s="168">
        <v>-700000</v>
      </c>
      <c r="GO184" s="21"/>
      <c r="GP184" s="21"/>
      <c r="GQ184" s="21"/>
      <c r="GR184" s="21"/>
      <c r="GS184" s="168">
        <v>300000</v>
      </c>
      <c r="GT184" s="168">
        <v>-700000</v>
      </c>
      <c r="GU184" s="21"/>
      <c r="GV184" s="21"/>
      <c r="GW184" s="21"/>
      <c r="GX184" s="21"/>
      <c r="GY184" s="21"/>
      <c r="GZ184" s="21"/>
      <c r="HA184" s="21"/>
      <c r="HB184" s="21"/>
      <c r="HC184" s="21"/>
      <c r="HD184" s="21"/>
      <c r="HE184" s="21"/>
      <c r="HF184" s="21"/>
      <c r="HG184" s="21"/>
      <c r="HH184" s="21"/>
      <c r="HI184" s="21"/>
      <c r="HJ184" s="21"/>
      <c r="HK184" s="21"/>
      <c r="HL184" s="21"/>
      <c r="HM184" s="21"/>
      <c r="HN184" s="21"/>
      <c r="HO184" s="21"/>
      <c r="HP184" s="21"/>
      <c r="HQ184" s="21"/>
      <c r="HR184" s="21"/>
      <c r="HS184" s="21"/>
      <c r="HT184" s="21"/>
      <c r="HU184" s="21"/>
      <c r="HV184" s="21"/>
      <c r="HW184" s="21"/>
      <c r="HX184" s="21"/>
      <c r="HY184" s="21"/>
      <c r="HZ184" s="21"/>
      <c r="IA184" s="21"/>
      <c r="IB184" s="21"/>
      <c r="IC184" s="21"/>
      <c r="ID184" s="21"/>
      <c r="IE184" s="21"/>
      <c r="IF184" s="21"/>
      <c r="IG184" s="21"/>
      <c r="IH184" s="21"/>
      <c r="II184" s="21"/>
      <c r="IJ184" s="21"/>
      <c r="IK184" s="21"/>
      <c r="IL184" s="21"/>
      <c r="IM184" s="21"/>
      <c r="IN184" s="21"/>
      <c r="IO184" s="21"/>
      <c r="IP184" s="21"/>
      <c r="IQ184" s="21"/>
      <c r="IR184" s="21"/>
      <c r="IS184" s="21"/>
      <c r="IT184" s="21"/>
      <c r="IU184" s="168">
        <v>300000</v>
      </c>
      <c r="IV184" s="168">
        <v>1200000</v>
      </c>
      <c r="IW184" s="21"/>
      <c r="IX184" s="21"/>
      <c r="IY184" s="21"/>
      <c r="IZ184" s="21"/>
      <c r="JA184" s="21"/>
      <c r="JB184" s="21"/>
      <c r="JC184" s="21"/>
      <c r="JD184" s="21"/>
      <c r="JE184" s="21"/>
      <c r="JF184" s="21"/>
      <c r="JG184" s="21"/>
      <c r="JH184" s="21"/>
      <c r="JI184" s="21"/>
      <c r="JJ184" s="21"/>
      <c r="JK184" s="21"/>
      <c r="JL184" s="21"/>
      <c r="JM184" s="21"/>
      <c r="JN184" s="21"/>
      <c r="JO184" s="21"/>
      <c r="JP184" s="21"/>
      <c r="JQ184" s="21"/>
      <c r="JR184" s="21"/>
      <c r="JS184" s="21"/>
      <c r="JT184" s="21"/>
      <c r="JU184" s="21"/>
      <c r="JV184" s="21"/>
      <c r="JW184" s="168">
        <v>55500000</v>
      </c>
      <c r="JX184" s="168">
        <v>56200000</v>
      </c>
      <c r="JY184" s="21"/>
      <c r="JZ184" s="21"/>
      <c r="KA184" s="21"/>
      <c r="KB184" s="21"/>
      <c r="KC184" s="21"/>
      <c r="KD184" s="21"/>
      <c r="KE184" s="21"/>
      <c r="KF184" s="21"/>
      <c r="KG184" s="21"/>
      <c r="KH184" s="21"/>
      <c r="KI184" s="21"/>
      <c r="KJ184" s="21"/>
      <c r="KK184" s="21"/>
      <c r="KL184" s="21"/>
      <c r="KM184" s="21"/>
      <c r="KN184" s="21"/>
      <c r="KO184" s="21"/>
      <c r="KP184" s="21"/>
      <c r="KQ184" s="21"/>
      <c r="KR184" s="21"/>
      <c r="KS184" s="21"/>
      <c r="KT184" s="21"/>
      <c r="KU184" s="21"/>
      <c r="KV184" s="21"/>
      <c r="KW184" s="21"/>
      <c r="KX184" s="21"/>
      <c r="KY184" s="21"/>
      <c r="KZ184" s="21"/>
      <c r="LA184" s="168">
        <v>18900000</v>
      </c>
      <c r="LB184" s="168">
        <v>18900000</v>
      </c>
      <c r="LC184" s="21"/>
      <c r="LD184" s="21"/>
      <c r="LE184" s="21"/>
      <c r="LF184" s="21"/>
      <c r="LG184" s="21"/>
      <c r="LH184" s="21"/>
      <c r="LI184" s="21"/>
      <c r="LJ184" s="21"/>
      <c r="LK184" s="168">
        <v>5100000</v>
      </c>
      <c r="LL184" s="168">
        <v>5300000</v>
      </c>
      <c r="LM184" s="21"/>
      <c r="LN184" s="21"/>
      <c r="LO184" s="21"/>
      <c r="LP184" s="21"/>
      <c r="LQ184" s="21"/>
      <c r="LR184" s="21"/>
      <c r="LS184" s="21"/>
      <c r="LT184" s="21"/>
      <c r="LU184" s="21"/>
      <c r="LV184" s="21"/>
      <c r="LW184" s="21"/>
      <c r="LX184" s="21"/>
      <c r="LY184" s="21"/>
      <c r="LZ184" s="21"/>
      <c r="MA184" s="21"/>
      <c r="MB184" s="21"/>
      <c r="MC184" s="21"/>
      <c r="MD184" s="21"/>
      <c r="ME184" s="21"/>
      <c r="MF184" s="21"/>
      <c r="MG184" s="168">
        <v>2300000</v>
      </c>
      <c r="MH184" s="168">
        <v>2900000</v>
      </c>
      <c r="MI184" s="21"/>
      <c r="MJ184" s="21"/>
      <c r="MK184" s="21"/>
      <c r="ML184" s="21"/>
      <c r="MM184" s="21"/>
      <c r="MN184" s="21"/>
      <c r="MO184" s="21"/>
      <c r="MP184" s="21"/>
      <c r="MQ184" s="21"/>
      <c r="MR184" s="21"/>
      <c r="MS184" s="21"/>
      <c r="MT184" s="21"/>
      <c r="MU184" s="21"/>
      <c r="MV184" s="21"/>
      <c r="MW184" s="21"/>
      <c r="MX184" s="21"/>
      <c r="MY184" s="21"/>
      <c r="MZ184" s="21"/>
      <c r="NA184" s="21"/>
      <c r="NB184" s="21"/>
      <c r="NC184" s="21"/>
      <c r="ND184" s="21"/>
      <c r="NE184" s="21"/>
      <c r="NF184" s="21"/>
      <c r="NG184" s="168">
        <v>14900000</v>
      </c>
      <c r="NH184" s="168">
        <v>14600000</v>
      </c>
      <c r="NI184" s="21"/>
      <c r="NJ184" s="21"/>
      <c r="NK184" s="21"/>
      <c r="NL184" s="21"/>
      <c r="NM184" s="168">
        <v>45700000</v>
      </c>
      <c r="NN184" s="168">
        <v>47600000</v>
      </c>
      <c r="NO184" s="168">
        <v>66600000</v>
      </c>
      <c r="NP184" s="168">
        <v>62200000</v>
      </c>
      <c r="NQ184" s="168" t="s">
        <v>864</v>
      </c>
      <c r="NR184" s="168" t="s">
        <v>797</v>
      </c>
      <c r="NS184" s="168" t="s">
        <v>770</v>
      </c>
      <c r="NT184" s="168" t="s">
        <v>771</v>
      </c>
      <c r="NU184" s="168">
        <v>7501</v>
      </c>
      <c r="NV184" s="168" t="s">
        <v>2104</v>
      </c>
      <c r="NW184" s="168" t="s">
        <v>28</v>
      </c>
      <c r="NX184" s="168" t="s">
        <v>25</v>
      </c>
      <c r="NY184" s="169">
        <v>42825</v>
      </c>
      <c r="NZ184" s="169">
        <v>42460</v>
      </c>
      <c r="OA184" s="169">
        <v>43076</v>
      </c>
      <c r="OB184" s="168" t="s">
        <v>1431</v>
      </c>
      <c r="OC184" s="168">
        <v>12</v>
      </c>
      <c r="OD184" s="168" t="s">
        <v>2105</v>
      </c>
      <c r="OE184" s="168" t="s">
        <v>2530</v>
      </c>
      <c r="OF184" s="168" t="s">
        <v>2531</v>
      </c>
      <c r="OG184" s="168" t="s">
        <v>2014</v>
      </c>
      <c r="OH184" s="168" t="s">
        <v>765</v>
      </c>
      <c r="OI184" s="168" t="s">
        <v>766</v>
      </c>
      <c r="OJ184" s="168" t="s">
        <v>3240</v>
      </c>
      <c r="OK184" s="168" t="s">
        <v>796</v>
      </c>
    </row>
    <row r="185" spans="1:401" x14ac:dyDescent="0.2">
      <c r="A185" s="170" t="str">
        <f>Liste[[#This Row],[Siren]]</f>
        <v>391505823</v>
      </c>
      <c r="B185" s="198" t="str">
        <f>Liste[[#This Row],[Dénomination]]&amp;" - comptes "&amp;YEAR(Liste[[#This Row],[Date de cloture de l''exercice]])</f>
        <v>SILVER SKI HOLIDAYS LIMITED - comptes 2017</v>
      </c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  <c r="FQ185" s="21"/>
      <c r="FR185" s="21"/>
      <c r="FS185" s="21"/>
      <c r="FT185" s="21"/>
      <c r="FU185" s="21"/>
      <c r="FV185" s="21"/>
      <c r="FW185" s="21"/>
      <c r="FX185" s="21"/>
      <c r="FY185" s="21"/>
      <c r="FZ185" s="21"/>
      <c r="GA185" s="21"/>
      <c r="GB185" s="21"/>
      <c r="GC185" s="21"/>
      <c r="GD185" s="21"/>
      <c r="GE185" s="21"/>
      <c r="GF185" s="21"/>
      <c r="GG185" s="21"/>
      <c r="GH185" s="21"/>
      <c r="GI185" s="21"/>
      <c r="GJ185" s="21"/>
      <c r="GK185" s="21"/>
      <c r="GL185" s="21"/>
      <c r="GM185" s="21"/>
      <c r="GN185" s="21"/>
      <c r="GO185" s="21"/>
      <c r="GP185" s="21"/>
      <c r="GQ185" s="21"/>
      <c r="GR185" s="21"/>
      <c r="GS185" s="21"/>
      <c r="GT185" s="21"/>
      <c r="GU185" s="21"/>
      <c r="GV185" s="21"/>
      <c r="GW185" s="21"/>
      <c r="GX185" s="21"/>
      <c r="GY185" s="21"/>
      <c r="GZ185" s="21"/>
      <c r="HA185" s="21"/>
      <c r="HB185" s="21"/>
      <c r="HC185" s="21"/>
      <c r="HD185" s="21"/>
      <c r="HE185" s="21"/>
      <c r="HF185" s="21"/>
      <c r="HG185" s="21"/>
      <c r="HH185" s="21"/>
      <c r="HI185" s="21"/>
      <c r="HJ185" s="21"/>
      <c r="HK185" s="21"/>
      <c r="HL185" s="21"/>
      <c r="HM185" s="21"/>
      <c r="HN185" s="21"/>
      <c r="HO185" s="21"/>
      <c r="HP185" s="21"/>
      <c r="HQ185" s="21"/>
      <c r="HR185" s="21"/>
      <c r="HS185" s="21"/>
      <c r="HT185" s="21"/>
      <c r="HU185" s="21"/>
      <c r="HV185" s="21"/>
      <c r="HW185" s="21"/>
      <c r="HX185" s="21"/>
      <c r="HY185" s="21"/>
      <c r="HZ185" s="21"/>
      <c r="IA185" s="21"/>
      <c r="IB185" s="21"/>
      <c r="IC185" s="21"/>
      <c r="ID185" s="21"/>
      <c r="IE185" s="21"/>
      <c r="IF185" s="21"/>
      <c r="IG185" s="21"/>
      <c r="IH185" s="21"/>
      <c r="II185" s="21"/>
      <c r="IJ185" s="21"/>
      <c r="IK185" s="21"/>
      <c r="IL185" s="21"/>
      <c r="IM185" s="21"/>
      <c r="IN185" s="21"/>
      <c r="IO185" s="21"/>
      <c r="IP185" s="21"/>
      <c r="IQ185" s="21"/>
      <c r="IR185" s="21"/>
      <c r="IS185" s="21"/>
      <c r="IT185" s="21"/>
      <c r="IU185" s="21"/>
      <c r="IV185" s="21"/>
      <c r="IW185" s="21"/>
      <c r="IX185" s="21"/>
      <c r="IY185" s="21"/>
      <c r="IZ185" s="21"/>
      <c r="JA185" s="21"/>
      <c r="JB185" s="21"/>
      <c r="JC185" s="21"/>
      <c r="JD185" s="21"/>
      <c r="JE185" s="21"/>
      <c r="JF185" s="21"/>
      <c r="JG185" s="21"/>
      <c r="JH185" s="21"/>
      <c r="JI185" s="21"/>
      <c r="JJ185" s="21"/>
      <c r="JK185" s="21"/>
      <c r="JL185" s="21"/>
      <c r="JM185" s="21"/>
      <c r="JN185" s="21"/>
      <c r="JO185" s="21"/>
      <c r="JP185" s="21"/>
      <c r="JQ185" s="21"/>
      <c r="JR185" s="21"/>
      <c r="JS185" s="21"/>
      <c r="JT185" s="21"/>
      <c r="JU185" s="21"/>
      <c r="JV185" s="21"/>
      <c r="JW185" s="21"/>
      <c r="JX185" s="21"/>
      <c r="JY185" s="21"/>
      <c r="JZ185" s="21"/>
      <c r="KA185" s="21"/>
      <c r="KB185" s="21"/>
      <c r="KC185" s="21"/>
      <c r="KD185" s="21"/>
      <c r="KE185" s="21"/>
      <c r="KF185" s="21"/>
      <c r="KG185" s="21"/>
      <c r="KH185" s="21"/>
      <c r="KI185" s="21"/>
      <c r="KJ185" s="21"/>
      <c r="KK185" s="21"/>
      <c r="KL185" s="21"/>
      <c r="KM185" s="21"/>
      <c r="KN185" s="21"/>
      <c r="KO185" s="21"/>
      <c r="KP185" s="21"/>
      <c r="KQ185" s="21"/>
      <c r="KR185" s="21"/>
      <c r="KS185" s="21"/>
      <c r="KT185" s="21"/>
      <c r="KU185" s="21"/>
      <c r="KV185" s="21"/>
      <c r="KW185" s="21"/>
      <c r="KX185" s="21"/>
      <c r="KY185" s="21"/>
      <c r="KZ185" s="21"/>
      <c r="LA185" s="21"/>
      <c r="LB185" s="21"/>
      <c r="LC185" s="21"/>
      <c r="LD185" s="21"/>
      <c r="LE185" s="21"/>
      <c r="LF185" s="21"/>
      <c r="LG185" s="21"/>
      <c r="LH185" s="21"/>
      <c r="LI185" s="21"/>
      <c r="LJ185" s="21"/>
      <c r="LK185" s="21"/>
      <c r="LL185" s="21"/>
      <c r="LM185" s="21"/>
      <c r="LN185" s="21"/>
      <c r="LO185" s="21"/>
      <c r="LP185" s="21"/>
      <c r="LQ185" s="21"/>
      <c r="LR185" s="21"/>
      <c r="LS185" s="21"/>
      <c r="LT185" s="21"/>
      <c r="LU185" s="21"/>
      <c r="LV185" s="21"/>
      <c r="LW185" s="21"/>
      <c r="LX185" s="21"/>
      <c r="LY185" s="21"/>
      <c r="LZ185" s="21"/>
      <c r="MA185" s="21"/>
      <c r="MB185" s="21"/>
      <c r="MC185" s="21"/>
      <c r="MD185" s="21"/>
      <c r="ME185" s="21"/>
      <c r="MF185" s="21"/>
      <c r="MG185" s="21"/>
      <c r="MH185" s="21"/>
      <c r="MI185" s="21"/>
      <c r="MJ185" s="21"/>
      <c r="MK185" s="21"/>
      <c r="ML185" s="21"/>
      <c r="MM185" s="21"/>
      <c r="MN185" s="21"/>
      <c r="MO185" s="21"/>
      <c r="MP185" s="21"/>
      <c r="MQ185" s="21"/>
      <c r="MR185" s="21"/>
      <c r="MS185" s="21"/>
      <c r="MT185" s="21"/>
      <c r="MU185" s="21"/>
      <c r="MV185" s="21"/>
      <c r="MW185" s="21"/>
      <c r="MX185" s="21"/>
      <c r="MY185" s="21"/>
      <c r="MZ185" s="21"/>
      <c r="NA185" s="21"/>
      <c r="NB185" s="21"/>
      <c r="NC185" s="21"/>
      <c r="ND185" s="21"/>
      <c r="NE185" s="21"/>
      <c r="NF185" s="21"/>
      <c r="NG185" s="21"/>
      <c r="NH185" s="21"/>
      <c r="NI185" s="21"/>
      <c r="NJ185" s="21"/>
      <c r="NK185" s="21"/>
      <c r="NL185" s="21"/>
      <c r="NM185" s="21"/>
      <c r="NN185" s="21"/>
      <c r="NO185" s="21"/>
      <c r="NP185" s="21"/>
      <c r="NQ185" s="168" t="s">
        <v>1263</v>
      </c>
      <c r="NR185" s="168" t="s">
        <v>1524</v>
      </c>
      <c r="NS185" s="168" t="s">
        <v>770</v>
      </c>
      <c r="NT185" s="168" t="s">
        <v>771</v>
      </c>
      <c r="NU185" s="168">
        <v>7301</v>
      </c>
      <c r="NV185" s="168" t="s">
        <v>2175</v>
      </c>
      <c r="NW185" s="168" t="s">
        <v>28</v>
      </c>
      <c r="NX185" s="168" t="s">
        <v>25</v>
      </c>
      <c r="NY185" s="169">
        <v>42825</v>
      </c>
      <c r="NZ185" s="169">
        <v>42490</v>
      </c>
      <c r="OA185" s="169">
        <v>43112</v>
      </c>
      <c r="OB185" s="168" t="s">
        <v>3352</v>
      </c>
      <c r="OC185" s="168">
        <v>11</v>
      </c>
      <c r="OD185" s="168" t="s">
        <v>2105</v>
      </c>
      <c r="OE185" s="168" t="s">
        <v>2185</v>
      </c>
      <c r="OF185" s="168" t="s">
        <v>3353</v>
      </c>
      <c r="OG185" s="168" t="s">
        <v>3354</v>
      </c>
      <c r="OH185" s="168" t="s">
        <v>817</v>
      </c>
      <c r="OI185" s="168" t="s">
        <v>825</v>
      </c>
      <c r="OJ185" s="168" t="s">
        <v>3249</v>
      </c>
      <c r="OK185" s="168" t="s">
        <v>1523</v>
      </c>
    </row>
    <row r="186" spans="1:401" x14ac:dyDescent="0.2">
      <c r="A186" s="170" t="str">
        <f>Liste[[#This Row],[Siren]]</f>
        <v>483185807</v>
      </c>
      <c r="B186" s="198" t="str">
        <f>Liste[[#This Row],[Dénomination]]&amp;" - comptes "&amp;YEAR(Liste[[#This Row],[Date de cloture de l''exercice]])</f>
        <v>SOFTBANK ROBOTICS EUROPE - comptes 2017</v>
      </c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168">
        <v>8991814</v>
      </c>
      <c r="BE186" s="168">
        <v>41530601</v>
      </c>
      <c r="BF186" s="168">
        <v>9180644</v>
      </c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168">
        <v>272668</v>
      </c>
      <c r="CF186" s="21"/>
      <c r="CG186" s="168">
        <v>816210</v>
      </c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168">
        <v>-47663587</v>
      </c>
      <c r="EL186" s="168">
        <v>39517100</v>
      </c>
      <c r="EM186" s="168">
        <v>43345674</v>
      </c>
      <c r="EN186" s="168">
        <v>90498903</v>
      </c>
      <c r="EO186" s="21"/>
      <c r="EP186" s="168">
        <v>46405409</v>
      </c>
      <c r="EQ186" s="168">
        <v>86836629</v>
      </c>
      <c r="ER186" s="168">
        <v>49889216</v>
      </c>
      <c r="ES186" s="168">
        <v>-47863587</v>
      </c>
      <c r="ET186" s="168">
        <v>85922509</v>
      </c>
      <c r="EU186" s="168">
        <v>130182499</v>
      </c>
      <c r="EV186" s="168">
        <v>140368119</v>
      </c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168">
        <v>-7852659</v>
      </c>
      <c r="FL186" s="168">
        <v>3329953</v>
      </c>
      <c r="FM186" s="21"/>
      <c r="FN186" s="21"/>
      <c r="FO186" s="21"/>
      <c r="FP186" s="21"/>
      <c r="FQ186" s="21"/>
      <c r="FR186" s="21"/>
      <c r="FS186" s="21"/>
      <c r="FT186" s="21"/>
      <c r="FU186" s="21"/>
      <c r="FV186" s="21"/>
      <c r="FW186" s="168">
        <v>-811289</v>
      </c>
      <c r="FX186" s="168">
        <v>-2182460</v>
      </c>
      <c r="FY186" s="21"/>
      <c r="FZ186" s="21"/>
      <c r="GA186" s="21"/>
      <c r="GB186" s="21"/>
      <c r="GC186" s="21"/>
      <c r="GD186" s="21"/>
      <c r="GE186" s="21"/>
      <c r="GF186" s="21"/>
      <c r="GG186" s="21"/>
      <c r="GH186" s="21"/>
      <c r="GI186" s="21"/>
      <c r="GJ186" s="21"/>
      <c r="GK186" s="21"/>
      <c r="GL186" s="21"/>
      <c r="GM186" s="21"/>
      <c r="GN186" s="21"/>
      <c r="GO186" s="21"/>
      <c r="GP186" s="21"/>
      <c r="GQ186" s="21"/>
      <c r="GR186" s="21"/>
      <c r="GS186" s="168">
        <v>-7652659</v>
      </c>
      <c r="GT186" s="168">
        <v>3329953</v>
      </c>
      <c r="GU186" s="21"/>
      <c r="GV186" s="21"/>
      <c r="GW186" s="21"/>
      <c r="GX186" s="21"/>
      <c r="GY186" s="21"/>
      <c r="GZ186" s="21"/>
      <c r="HA186" s="21"/>
      <c r="HB186" s="21"/>
      <c r="HC186" s="168">
        <v>-27691221</v>
      </c>
      <c r="HD186" s="168">
        <v>-37264241</v>
      </c>
      <c r="HE186" s="168">
        <v>1020017</v>
      </c>
      <c r="HF186" s="168">
        <v>2123296</v>
      </c>
      <c r="HG186" s="21"/>
      <c r="HH186" s="21"/>
      <c r="HI186" s="21"/>
      <c r="HJ186" s="21"/>
      <c r="HK186" s="21"/>
      <c r="HL186" s="21"/>
      <c r="HM186" s="21"/>
      <c r="HN186" s="21"/>
      <c r="HO186" s="21"/>
      <c r="HP186" s="21"/>
      <c r="HQ186" s="21"/>
      <c r="HR186" s="21"/>
      <c r="HS186" s="21"/>
      <c r="HT186" s="21"/>
      <c r="HU186" s="168">
        <v>-14597007</v>
      </c>
      <c r="HV186" s="168">
        <v>-15820507</v>
      </c>
      <c r="HW186" s="21"/>
      <c r="HX186" s="21"/>
      <c r="HY186" s="21"/>
      <c r="HZ186" s="21"/>
      <c r="IA186" s="21"/>
      <c r="IB186" s="21"/>
      <c r="IC186" s="21"/>
      <c r="ID186" s="21"/>
      <c r="IE186" s="168">
        <v>-1311810</v>
      </c>
      <c r="IF186" s="168">
        <v>-1686750</v>
      </c>
      <c r="IG186" s="21"/>
      <c r="IH186" s="21"/>
      <c r="II186" s="21"/>
      <c r="IJ186" s="21"/>
      <c r="IK186" s="168">
        <v>3055477</v>
      </c>
      <c r="IL186" s="168">
        <v>6767238</v>
      </c>
      <c r="IM186" s="21"/>
      <c r="IN186" s="21"/>
      <c r="IO186" s="21"/>
      <c r="IP186" s="21"/>
      <c r="IQ186" s="21"/>
      <c r="IR186" s="21"/>
      <c r="IS186" s="21"/>
      <c r="IT186" s="21"/>
      <c r="IU186" s="21"/>
      <c r="IV186" s="21"/>
      <c r="IW186" s="168">
        <v>6889348</v>
      </c>
      <c r="IX186" s="168">
        <v>14404834</v>
      </c>
      <c r="IY186" s="168">
        <v>-152021</v>
      </c>
      <c r="IZ186" s="168">
        <v>-8892421</v>
      </c>
      <c r="JA186" s="21"/>
      <c r="JB186" s="21"/>
      <c r="JC186" s="21"/>
      <c r="JD186" s="21"/>
      <c r="JE186" s="168">
        <v>-27691221</v>
      </c>
      <c r="JF186" s="168">
        <v>-37264241</v>
      </c>
      <c r="JG186" s="21"/>
      <c r="JH186" s="21"/>
      <c r="JI186" s="21"/>
      <c r="JJ186" s="21"/>
      <c r="JK186" s="21"/>
      <c r="JL186" s="21"/>
      <c r="JM186" s="21"/>
      <c r="JN186" s="21"/>
      <c r="JO186" s="21"/>
      <c r="JP186" s="21"/>
      <c r="JQ186" s="21"/>
      <c r="JR186" s="21"/>
      <c r="JS186" s="21"/>
      <c r="JT186" s="21"/>
      <c r="JU186" s="21"/>
      <c r="JV186" s="21"/>
      <c r="JW186" s="168">
        <v>55062920</v>
      </c>
      <c r="JX186" s="168">
        <v>206434058</v>
      </c>
      <c r="JY186" s="21"/>
      <c r="JZ186" s="21"/>
      <c r="KA186" s="21"/>
      <c r="KB186" s="21"/>
      <c r="KC186" s="21"/>
      <c r="KD186" s="21"/>
      <c r="KE186" s="21"/>
      <c r="KF186" s="21"/>
      <c r="KG186" s="21"/>
      <c r="KH186" s="21"/>
      <c r="KI186" s="21"/>
      <c r="KJ186" s="21"/>
      <c r="KK186" s="21"/>
      <c r="KL186" s="21"/>
      <c r="KM186" s="21"/>
      <c r="KN186" s="21"/>
      <c r="KO186" s="21"/>
      <c r="KP186" s="21"/>
      <c r="KQ186" s="21"/>
      <c r="KR186" s="21"/>
      <c r="KS186" s="21"/>
      <c r="KT186" s="21"/>
      <c r="KU186" s="21"/>
      <c r="KV186" s="21"/>
      <c r="KW186" s="21"/>
      <c r="KX186" s="21"/>
      <c r="KY186" s="21"/>
      <c r="KZ186" s="21"/>
      <c r="LA186" s="168">
        <v>8627260</v>
      </c>
      <c r="LB186" s="168">
        <v>8621260</v>
      </c>
      <c r="LC186" s="21"/>
      <c r="LD186" s="21"/>
      <c r="LE186" s="21"/>
      <c r="LF186" s="21"/>
      <c r="LG186" s="21"/>
      <c r="LH186" s="21"/>
      <c r="LI186" s="21"/>
      <c r="LJ186" s="21"/>
      <c r="LK186" s="21"/>
      <c r="LL186" s="21"/>
      <c r="LM186" s="21"/>
      <c r="LN186" s="21"/>
      <c r="LO186" s="21"/>
      <c r="LP186" s="21"/>
      <c r="LQ186" s="21"/>
      <c r="LR186" s="21"/>
      <c r="LS186" s="21"/>
      <c r="LT186" s="21"/>
      <c r="LU186" s="21"/>
      <c r="LV186" s="21"/>
      <c r="LW186" s="21"/>
      <c r="LX186" s="21"/>
      <c r="LY186" s="21"/>
      <c r="LZ186" s="21"/>
      <c r="MA186" s="21"/>
      <c r="MB186" s="21"/>
      <c r="MC186" s="21"/>
      <c r="MD186" s="21"/>
      <c r="ME186" s="21"/>
      <c r="MF186" s="21"/>
      <c r="MG186" s="21"/>
      <c r="MH186" s="21"/>
      <c r="MI186" s="21"/>
      <c r="MJ186" s="21"/>
      <c r="MK186" s="21"/>
      <c r="ML186" s="21"/>
      <c r="MM186" s="21"/>
      <c r="MN186" s="21"/>
      <c r="MO186" s="21"/>
      <c r="MP186" s="21"/>
      <c r="MQ186" s="21"/>
      <c r="MR186" s="21"/>
      <c r="MS186" s="21"/>
      <c r="MT186" s="21"/>
      <c r="MU186" s="21"/>
      <c r="MV186" s="21"/>
      <c r="MW186" s="21"/>
      <c r="MX186" s="21"/>
      <c r="MY186" s="21"/>
      <c r="MZ186" s="21"/>
      <c r="NA186" s="21"/>
      <c r="NB186" s="21"/>
      <c r="NC186" s="168">
        <v>-7652659</v>
      </c>
      <c r="ND186" s="168">
        <v>3329953</v>
      </c>
      <c r="NE186" s="21"/>
      <c r="NF186" s="21"/>
      <c r="NG186" s="21"/>
      <c r="NH186" s="21"/>
      <c r="NI186" s="21"/>
      <c r="NJ186" s="21"/>
      <c r="NK186" s="21"/>
      <c r="NL186" s="21"/>
      <c r="NM186" s="21"/>
      <c r="NN186" s="21"/>
      <c r="NO186" s="168">
        <v>85822509</v>
      </c>
      <c r="NP186" s="168">
        <v>730182499</v>
      </c>
      <c r="NQ186" s="168" t="s">
        <v>895</v>
      </c>
      <c r="NR186" s="168" t="s">
        <v>1000</v>
      </c>
      <c r="NS186" s="168" t="s">
        <v>770</v>
      </c>
      <c r="NT186" s="168" t="s">
        <v>771</v>
      </c>
      <c r="NU186" s="168">
        <v>7501</v>
      </c>
      <c r="NV186" s="168" t="s">
        <v>2104</v>
      </c>
      <c r="NW186" s="168" t="s">
        <v>28</v>
      </c>
      <c r="NX186" s="168" t="s">
        <v>25</v>
      </c>
      <c r="NY186" s="169">
        <v>42825</v>
      </c>
      <c r="NZ186" s="21"/>
      <c r="OA186" s="169">
        <v>42928</v>
      </c>
      <c r="OB186" s="168" t="s">
        <v>1001</v>
      </c>
      <c r="OC186" s="168">
        <v>12</v>
      </c>
      <c r="OD186" s="168" t="s">
        <v>2113</v>
      </c>
      <c r="OE186" s="168" t="s">
        <v>2208</v>
      </c>
      <c r="OF186" s="168" t="s">
        <v>2209</v>
      </c>
      <c r="OG186" s="168" t="s">
        <v>1841</v>
      </c>
      <c r="OH186" s="168" t="s">
        <v>765</v>
      </c>
      <c r="OI186" s="168" t="s">
        <v>766</v>
      </c>
      <c r="OJ186" s="168" t="s">
        <v>3240</v>
      </c>
      <c r="OK186" s="168" t="s">
        <v>999</v>
      </c>
    </row>
    <row r="187" spans="1:401" x14ac:dyDescent="0.2">
      <c r="A187" s="170" t="str">
        <f>Liste[[#This Row],[Siren]]</f>
        <v>388347585</v>
      </c>
      <c r="B187" s="198" t="str">
        <f>Liste[[#This Row],[Dénomination]]&amp;" - comptes "&amp;YEAR(Liste[[#This Row],[Date de cloture de l''exercice]])</f>
        <v>GYMINVEST - comptes 2017</v>
      </c>
      <c r="C187" s="21"/>
      <c r="D187" s="21"/>
      <c r="E187" s="168">
        <v>4525275</v>
      </c>
      <c r="F187" s="168">
        <v>2673951</v>
      </c>
      <c r="G187" s="168">
        <v>1032418</v>
      </c>
      <c r="H187" s="168">
        <v>7199226</v>
      </c>
      <c r="I187" s="168">
        <v>1271254</v>
      </c>
      <c r="J187" s="168">
        <v>385073</v>
      </c>
      <c r="K187" s="168">
        <v>399637</v>
      </c>
      <c r="L187" s="168">
        <v>1656327</v>
      </c>
      <c r="M187" s="21"/>
      <c r="N187" s="168">
        <v>30634</v>
      </c>
      <c r="O187" s="168">
        <v>30634</v>
      </c>
      <c r="P187" s="168">
        <v>30634</v>
      </c>
      <c r="Q187" s="168">
        <v>293982</v>
      </c>
      <c r="R187" s="168">
        <v>27190</v>
      </c>
      <c r="S187" s="168">
        <v>13620</v>
      </c>
      <c r="T187" s="168">
        <v>321172</v>
      </c>
      <c r="U187" s="21"/>
      <c r="V187" s="21"/>
      <c r="W187" s="21"/>
      <c r="X187" s="21"/>
      <c r="Y187" s="168">
        <v>15</v>
      </c>
      <c r="Z187" s="21"/>
      <c r="AA187" s="21"/>
      <c r="AB187" s="168">
        <v>15</v>
      </c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168">
        <v>314718</v>
      </c>
      <c r="BA187" s="168">
        <v>253436</v>
      </c>
      <c r="BB187" s="168">
        <v>314718</v>
      </c>
      <c r="BC187" s="168">
        <v>26050</v>
      </c>
      <c r="BD187" s="168">
        <v>2617271</v>
      </c>
      <c r="BE187" s="168">
        <v>2633616</v>
      </c>
      <c r="BF187" s="168">
        <v>2643321</v>
      </c>
      <c r="BG187" s="21"/>
      <c r="BH187" s="168">
        <v>33942</v>
      </c>
      <c r="BI187" s="168">
        <v>33942</v>
      </c>
      <c r="BJ187" s="168">
        <v>33942</v>
      </c>
      <c r="BK187" s="168">
        <v>2176413</v>
      </c>
      <c r="BL187" s="168">
        <v>1084950</v>
      </c>
      <c r="BM187" s="168">
        <v>1219000</v>
      </c>
      <c r="BN187" s="168">
        <v>3261363</v>
      </c>
      <c r="BO187" s="21"/>
      <c r="BP187" s="21"/>
      <c r="BQ187" s="21"/>
      <c r="BR187" s="21"/>
      <c r="BS187" s="21"/>
      <c r="BT187" s="21"/>
      <c r="BU187" s="21"/>
      <c r="BV187" s="21"/>
      <c r="BW187" s="21"/>
      <c r="BX187" s="168">
        <v>510266</v>
      </c>
      <c r="BY187" s="168">
        <v>603130</v>
      </c>
      <c r="BZ187" s="168">
        <v>510266</v>
      </c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168">
        <v>636555</v>
      </c>
      <c r="DD187" s="168">
        <v>223315</v>
      </c>
      <c r="DE187" s="168">
        <v>636555</v>
      </c>
      <c r="DF187" s="168">
        <v>3495348</v>
      </c>
      <c r="DG187" s="168">
        <v>898622</v>
      </c>
      <c r="DH187" s="168">
        <v>921067</v>
      </c>
      <c r="DI187" s="168">
        <v>4393970</v>
      </c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168">
        <v>153937</v>
      </c>
      <c r="DX187" s="168">
        <v>142221</v>
      </c>
      <c r="DY187" s="168">
        <v>153937</v>
      </c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168">
        <v>7237011</v>
      </c>
      <c r="EL187" s="168">
        <v>1278549</v>
      </c>
      <c r="EM187" s="168">
        <v>4024092</v>
      </c>
      <c r="EN187" s="168">
        <v>8515560</v>
      </c>
      <c r="EO187" s="168">
        <v>4551325</v>
      </c>
      <c r="EP187" s="168">
        <v>15151781</v>
      </c>
      <c r="EQ187" s="168">
        <v>1252193</v>
      </c>
      <c r="ER187" s="168">
        <v>19703106</v>
      </c>
      <c r="ES187" s="168">
        <v>11788337</v>
      </c>
      <c r="ET187" s="168">
        <v>19430478</v>
      </c>
      <c r="EU187" s="168">
        <v>18276784</v>
      </c>
      <c r="EV187" s="168">
        <v>31218815</v>
      </c>
      <c r="EW187" s="21"/>
      <c r="EX187" s="168">
        <v>1027645</v>
      </c>
      <c r="EY187" s="168">
        <v>1040656</v>
      </c>
      <c r="EZ187" s="168">
        <v>1027645</v>
      </c>
      <c r="FA187" s="21"/>
      <c r="FB187" s="21"/>
      <c r="FC187" s="21"/>
      <c r="FD187" s="21"/>
      <c r="FE187" s="21"/>
      <c r="FF187" s="21"/>
      <c r="FG187" s="21"/>
      <c r="FH187" s="21"/>
      <c r="FI187" s="168">
        <v>78362</v>
      </c>
      <c r="FJ187" s="168">
        <v>-92429</v>
      </c>
      <c r="FK187" s="21"/>
      <c r="FL187" s="21"/>
      <c r="FM187" s="21"/>
      <c r="FN187" s="21"/>
      <c r="FO187" s="21"/>
      <c r="FP187" s="21"/>
      <c r="FQ187" s="21"/>
      <c r="FR187" s="21"/>
      <c r="FS187" s="21"/>
      <c r="FT187" s="21"/>
      <c r="FU187" s="21"/>
      <c r="FV187" s="21"/>
      <c r="FW187" s="21"/>
      <c r="FX187" s="21"/>
      <c r="FY187" s="168">
        <v>-8394</v>
      </c>
      <c r="FZ187" s="168">
        <v>-215168</v>
      </c>
      <c r="GA187" s="21"/>
      <c r="GB187" s="21"/>
      <c r="GC187" s="21"/>
      <c r="GD187" s="21"/>
      <c r="GE187" s="21"/>
      <c r="GF187" s="21"/>
      <c r="GG187" s="21"/>
      <c r="GH187" s="21"/>
      <c r="GI187" s="21"/>
      <c r="GJ187" s="21"/>
      <c r="GK187" s="21"/>
      <c r="GL187" s="21"/>
      <c r="GM187" s="21"/>
      <c r="GN187" s="21"/>
      <c r="GO187" s="21"/>
      <c r="GP187" s="21"/>
      <c r="GQ187" s="21"/>
      <c r="GR187" s="21"/>
      <c r="GS187" s="168">
        <v>111601</v>
      </c>
      <c r="GT187" s="168">
        <v>-720932</v>
      </c>
      <c r="GU187" s="168">
        <v>4566</v>
      </c>
      <c r="GV187" s="168">
        <v>194143</v>
      </c>
      <c r="GW187" s="168">
        <v>147786</v>
      </c>
      <c r="GX187" s="168">
        <v>59503</v>
      </c>
      <c r="GY187" s="21"/>
      <c r="GZ187" s="21"/>
      <c r="HA187" s="21"/>
      <c r="HB187" s="21"/>
      <c r="HC187" s="168">
        <v>4678995</v>
      </c>
      <c r="HD187" s="168">
        <v>4470807</v>
      </c>
      <c r="HE187" s="168">
        <v>118340</v>
      </c>
      <c r="HF187" s="168">
        <v>63310</v>
      </c>
      <c r="HG187" s="21"/>
      <c r="HH187" s="21"/>
      <c r="HI187" s="168">
        <v>101</v>
      </c>
      <c r="HJ187" s="168">
        <v>52</v>
      </c>
      <c r="HK187" s="21"/>
      <c r="HL187" s="21"/>
      <c r="HM187" s="21"/>
      <c r="HN187" s="21"/>
      <c r="HO187" s="21"/>
      <c r="HP187" s="21"/>
      <c r="HQ187" s="21"/>
      <c r="HR187" s="21"/>
      <c r="HS187" s="21"/>
      <c r="HT187" s="21"/>
      <c r="HU187" s="168">
        <v>508971</v>
      </c>
      <c r="HV187" s="168">
        <v>506774</v>
      </c>
      <c r="HW187" s="168">
        <v>11411</v>
      </c>
      <c r="HX187" s="168">
        <v>10673</v>
      </c>
      <c r="HY187" s="21"/>
      <c r="HZ187" s="21"/>
      <c r="IA187" s="21"/>
      <c r="IB187" s="21"/>
      <c r="IC187" s="21"/>
      <c r="ID187" s="21"/>
      <c r="IE187" s="168">
        <v>232943</v>
      </c>
      <c r="IF187" s="168">
        <v>239655</v>
      </c>
      <c r="IG187" s="168">
        <v>295879</v>
      </c>
      <c r="IH187" s="168">
        <v>318490</v>
      </c>
      <c r="II187" s="21"/>
      <c r="IJ187" s="21"/>
      <c r="IK187" s="168">
        <v>958183</v>
      </c>
      <c r="IL187" s="168">
        <v>329418</v>
      </c>
      <c r="IM187" s="21"/>
      <c r="IN187" s="21"/>
      <c r="IO187" s="21"/>
      <c r="IP187" s="21"/>
      <c r="IQ187" s="21"/>
      <c r="IR187" s="21"/>
      <c r="IS187" s="21"/>
      <c r="IT187" s="21"/>
      <c r="IU187" s="168">
        <v>76116</v>
      </c>
      <c r="IV187" s="168">
        <v>825100</v>
      </c>
      <c r="IW187" s="168">
        <v>220138</v>
      </c>
      <c r="IX187" s="168">
        <v>500596</v>
      </c>
      <c r="IY187" s="168">
        <v>296254</v>
      </c>
      <c r="IZ187" s="168">
        <v>324510</v>
      </c>
      <c r="JA187" s="168">
        <v>119054</v>
      </c>
      <c r="JB187" s="168">
        <v>252226</v>
      </c>
      <c r="JC187" s="21"/>
      <c r="JD187" s="21"/>
      <c r="JE187" s="21"/>
      <c r="JF187" s="21"/>
      <c r="JG187" s="21"/>
      <c r="JH187" s="21"/>
      <c r="JI187" s="168">
        <v>27955318</v>
      </c>
      <c r="JJ187" s="168">
        <v>27106006</v>
      </c>
      <c r="JK187" s="168">
        <v>296257</v>
      </c>
      <c r="JL187" s="168">
        <v>325185</v>
      </c>
      <c r="JM187" s="168">
        <v>28175454</v>
      </c>
      <c r="JN187" s="168">
        <v>26605410</v>
      </c>
      <c r="JO187" s="21"/>
      <c r="JP187" s="21"/>
      <c r="JQ187" s="21"/>
      <c r="JR187" s="21"/>
      <c r="JS187" s="21"/>
      <c r="JT187" s="21"/>
      <c r="JU187" s="21"/>
      <c r="JV187" s="21"/>
      <c r="JW187" s="168">
        <v>27098116</v>
      </c>
      <c r="JX187" s="168">
        <v>26023714</v>
      </c>
      <c r="JY187" s="21"/>
      <c r="JZ187" s="21"/>
      <c r="KA187" s="21"/>
      <c r="KB187" s="21"/>
      <c r="KC187" s="21"/>
      <c r="KD187" s="21"/>
      <c r="KE187" s="21"/>
      <c r="KF187" s="21"/>
      <c r="KG187" s="21"/>
      <c r="KH187" s="21"/>
      <c r="KI187" s="21"/>
      <c r="KJ187" s="21"/>
      <c r="KK187" s="21"/>
      <c r="KL187" s="21"/>
      <c r="KM187" s="21"/>
      <c r="KN187" s="21"/>
      <c r="KO187" s="21"/>
      <c r="KP187" s="21"/>
      <c r="KQ187" s="168">
        <v>506440</v>
      </c>
      <c r="KR187" s="168">
        <v>114947</v>
      </c>
      <c r="KS187" s="21"/>
      <c r="KT187" s="21"/>
      <c r="KU187" s="21"/>
      <c r="KV187" s="21"/>
      <c r="KW187" s="21"/>
      <c r="KX187" s="21"/>
      <c r="KY187" s="21"/>
      <c r="KZ187" s="21"/>
      <c r="LA187" s="168">
        <v>3800000</v>
      </c>
      <c r="LB187" s="168">
        <v>1407530</v>
      </c>
      <c r="LC187" s="21"/>
      <c r="LD187" s="21"/>
      <c r="LE187" s="21"/>
      <c r="LF187" s="21"/>
      <c r="LG187" s="21"/>
      <c r="LH187" s="21"/>
      <c r="LI187" s="168">
        <v>678698</v>
      </c>
      <c r="LJ187" s="168">
        <v>701475</v>
      </c>
      <c r="LK187" s="168">
        <v>2497488</v>
      </c>
      <c r="LL187" s="168">
        <v>2470234</v>
      </c>
      <c r="LM187" s="21"/>
      <c r="LN187" s="21"/>
      <c r="LO187" s="21"/>
      <c r="LP187" s="21"/>
      <c r="LQ187" s="21"/>
      <c r="LR187" s="21"/>
      <c r="LS187" s="21"/>
      <c r="LT187" s="21"/>
      <c r="LU187" s="168">
        <v>225413</v>
      </c>
      <c r="LV187" s="168">
        <v>209453</v>
      </c>
      <c r="LW187" s="21"/>
      <c r="LX187" s="21"/>
      <c r="LY187" s="21"/>
      <c r="LZ187" s="21"/>
      <c r="MA187" s="21"/>
      <c r="MB187" s="21"/>
      <c r="MC187" s="21"/>
      <c r="MD187" s="21"/>
      <c r="ME187" s="21"/>
      <c r="MF187" s="21"/>
      <c r="MG187" s="168">
        <v>289457</v>
      </c>
      <c r="MH187" s="168">
        <v>236145</v>
      </c>
      <c r="MI187" s="21"/>
      <c r="MJ187" s="21"/>
      <c r="MK187" s="21"/>
      <c r="ML187" s="21"/>
      <c r="MM187" s="168">
        <v>64799</v>
      </c>
      <c r="MN187" s="168">
        <v>96642</v>
      </c>
      <c r="MO187" s="21"/>
      <c r="MP187" s="21"/>
      <c r="MQ187" s="21"/>
      <c r="MR187" s="21"/>
      <c r="MS187" s="21"/>
      <c r="MT187" s="21"/>
      <c r="MU187" s="21"/>
      <c r="MV187" s="21"/>
      <c r="MW187" s="21"/>
      <c r="MX187" s="21"/>
      <c r="MY187" s="21"/>
      <c r="MZ187" s="21"/>
      <c r="NA187" s="21"/>
      <c r="NB187" s="21"/>
      <c r="NC187" s="168">
        <v>111601</v>
      </c>
      <c r="ND187" s="168">
        <v>-720932</v>
      </c>
      <c r="NE187" s="21"/>
      <c r="NF187" s="21"/>
      <c r="NG187" s="168">
        <v>4638858</v>
      </c>
      <c r="NH187" s="168">
        <v>2209213</v>
      </c>
      <c r="NI187" s="21"/>
      <c r="NJ187" s="21"/>
      <c r="NK187" s="21"/>
      <c r="NL187" s="21"/>
      <c r="NM187" s="168">
        <v>4036883</v>
      </c>
      <c r="NN187" s="168">
        <v>3619443</v>
      </c>
      <c r="NO187" s="168">
        <v>19430329</v>
      </c>
      <c r="NP187" s="168">
        <v>1826284</v>
      </c>
      <c r="NQ187" s="168" t="s">
        <v>893</v>
      </c>
      <c r="NR187" s="168" t="s">
        <v>804</v>
      </c>
      <c r="NS187" s="168" t="s">
        <v>770</v>
      </c>
      <c r="NT187" s="168" t="s">
        <v>771</v>
      </c>
      <c r="NU187" s="168">
        <v>8401</v>
      </c>
      <c r="NV187" s="168" t="s">
        <v>2104</v>
      </c>
      <c r="NW187" s="168" t="s">
        <v>28</v>
      </c>
      <c r="NX187" s="168" t="s">
        <v>25</v>
      </c>
      <c r="NY187" s="169">
        <v>42825</v>
      </c>
      <c r="NZ187" s="169">
        <v>42460</v>
      </c>
      <c r="OA187" s="169">
        <v>42982</v>
      </c>
      <c r="OB187" s="168" t="s">
        <v>1401</v>
      </c>
      <c r="OC187" s="168">
        <v>12</v>
      </c>
      <c r="OD187" s="168" t="s">
        <v>2105</v>
      </c>
      <c r="OE187" s="168" t="s">
        <v>2516</v>
      </c>
      <c r="OF187" s="168" t="s">
        <v>2517</v>
      </c>
      <c r="OG187" s="168" t="s">
        <v>2004</v>
      </c>
      <c r="OH187" s="168" t="s">
        <v>807</v>
      </c>
      <c r="OI187" s="168" t="s">
        <v>766</v>
      </c>
      <c r="OJ187" s="168" t="s">
        <v>3240</v>
      </c>
      <c r="OK187" s="168" t="s">
        <v>803</v>
      </c>
    </row>
    <row r="188" spans="1:401" x14ac:dyDescent="0.2">
      <c r="A188" s="170" t="str">
        <f>Liste[[#This Row],[Siren]]</f>
        <v>804527372</v>
      </c>
      <c r="B188" s="198" t="str">
        <f>Liste[[#This Row],[Dénomination]]&amp;" - comptes "&amp;YEAR(Liste[[#This Row],[Date de cloture de l''exercice]])</f>
        <v>REMA YOU PERFORMANCE - comptes 2017</v>
      </c>
      <c r="C188" s="21"/>
      <c r="D188" s="21"/>
      <c r="E188" s="21"/>
      <c r="F188" s="21"/>
      <c r="G188" s="21"/>
      <c r="H188" s="21"/>
      <c r="I188" s="21"/>
      <c r="J188" s="168">
        <v>1220582</v>
      </c>
      <c r="K188" s="168">
        <v>1097482</v>
      </c>
      <c r="L188" s="21"/>
      <c r="M188" s="21"/>
      <c r="N188" s="168">
        <v>14230</v>
      </c>
      <c r="O188" s="168">
        <v>24230</v>
      </c>
      <c r="P188" s="21"/>
      <c r="Q188" s="21"/>
      <c r="R188" s="168">
        <v>446600</v>
      </c>
      <c r="S188" s="168">
        <v>120575</v>
      </c>
      <c r="T188" s="21"/>
      <c r="U188" s="21"/>
      <c r="V188" s="21"/>
      <c r="W188" s="21"/>
      <c r="X188" s="21"/>
      <c r="Y188" s="21"/>
      <c r="Z188" s="168">
        <v>35727</v>
      </c>
      <c r="AA188" s="168">
        <v>35183</v>
      </c>
      <c r="AB188" s="21"/>
      <c r="AC188" s="21"/>
      <c r="AD188" s="168">
        <v>45360</v>
      </c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168">
        <v>153894</v>
      </c>
      <c r="BA188" s="168">
        <v>192322</v>
      </c>
      <c r="BB188" s="21"/>
      <c r="BC188" s="21"/>
      <c r="BD188" s="168">
        <v>3457982</v>
      </c>
      <c r="BE188" s="168">
        <v>3416360</v>
      </c>
      <c r="BF188" s="21"/>
      <c r="BG188" s="21"/>
      <c r="BH188" s="168">
        <v>88021</v>
      </c>
      <c r="BI188" s="168">
        <v>78997</v>
      </c>
      <c r="BJ188" s="21"/>
      <c r="BK188" s="21"/>
      <c r="BL188" s="168">
        <v>3103915</v>
      </c>
      <c r="BM188" s="168">
        <v>3259737</v>
      </c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168">
        <v>7897034</v>
      </c>
      <c r="BY188" s="168">
        <v>2752694</v>
      </c>
      <c r="BZ188" s="21"/>
      <c r="CA188" s="21"/>
      <c r="CB188" s="21"/>
      <c r="CC188" s="21"/>
      <c r="CD188" s="21"/>
      <c r="CE188" s="168">
        <v>10462150</v>
      </c>
      <c r="CF188" s="168">
        <v>11857104</v>
      </c>
      <c r="CG188" s="21"/>
      <c r="CH188" s="21"/>
      <c r="CI188" s="168">
        <v>431206</v>
      </c>
      <c r="CJ188" s="168">
        <v>488612</v>
      </c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168">
        <v>309400</v>
      </c>
      <c r="DD188" s="21"/>
      <c r="DE188" s="21"/>
      <c r="DF188" s="21"/>
      <c r="DG188" s="168">
        <v>1824073</v>
      </c>
      <c r="DH188" s="168">
        <v>2163402</v>
      </c>
      <c r="DI188" s="21"/>
      <c r="DJ188" s="21"/>
      <c r="DK188" s="21"/>
      <c r="DL188" s="21"/>
      <c r="DM188" s="21"/>
      <c r="DN188" s="21"/>
      <c r="DO188" s="168">
        <v>2242966</v>
      </c>
      <c r="DP188" s="168">
        <v>2218602</v>
      </c>
      <c r="DQ188" s="21"/>
      <c r="DR188" s="21"/>
      <c r="DS188" s="21"/>
      <c r="DT188" s="21"/>
      <c r="DU188" s="21"/>
      <c r="DV188" s="21"/>
      <c r="DW188" s="168">
        <v>500</v>
      </c>
      <c r="DX188" s="168">
        <v>1936</v>
      </c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168">
        <v>8240181</v>
      </c>
      <c r="EM188" s="168">
        <v>7923316</v>
      </c>
      <c r="EN188" s="21"/>
      <c r="EO188" s="21"/>
      <c r="EP188" s="168">
        <v>18793996</v>
      </c>
      <c r="EQ188" s="168">
        <v>16135572</v>
      </c>
      <c r="ER188" s="21"/>
      <c r="ES188" s="21"/>
      <c r="ET188" s="168">
        <v>37495428</v>
      </c>
      <c r="EU188" s="168">
        <v>35915998</v>
      </c>
      <c r="EV188" s="21"/>
      <c r="EW188" s="21"/>
      <c r="EX188" s="168">
        <v>1121758</v>
      </c>
      <c r="EY188" s="168">
        <v>1121759</v>
      </c>
      <c r="EZ188" s="21"/>
      <c r="FA188" s="21"/>
      <c r="FB188" s="21"/>
      <c r="FC188" s="21"/>
      <c r="FD188" s="21"/>
      <c r="FE188" s="21"/>
      <c r="FF188" s="168">
        <v>3964617</v>
      </c>
      <c r="FG188" s="168">
        <v>6131086</v>
      </c>
      <c r="FH188" s="21"/>
      <c r="FI188" s="168">
        <v>39577</v>
      </c>
      <c r="FJ188" s="168">
        <v>-554</v>
      </c>
      <c r="FK188" s="168">
        <v>2078204</v>
      </c>
      <c r="FL188" s="168">
        <v>1545770</v>
      </c>
      <c r="FM188" s="168">
        <v>13321</v>
      </c>
      <c r="FN188" s="168">
        <v>32615</v>
      </c>
      <c r="FO188" s="168">
        <v>64401</v>
      </c>
      <c r="FP188" s="168">
        <v>24783</v>
      </c>
      <c r="FQ188" s="168">
        <v>3394954</v>
      </c>
      <c r="FR188" s="168">
        <v>1394954</v>
      </c>
      <c r="FS188" s="168">
        <v>4761</v>
      </c>
      <c r="FT188" s="168">
        <v>5497</v>
      </c>
      <c r="FU188" s="168">
        <v>-85478</v>
      </c>
      <c r="FV188" s="168">
        <v>53134</v>
      </c>
      <c r="FW188" s="168">
        <v>2163682</v>
      </c>
      <c r="FX188" s="168">
        <v>1492636</v>
      </c>
      <c r="FY188" s="168">
        <v>138</v>
      </c>
      <c r="FZ188" s="168">
        <v>170</v>
      </c>
      <c r="GA188" s="21"/>
      <c r="GB188" s="21"/>
      <c r="GC188" s="168">
        <v>13079</v>
      </c>
      <c r="GD188" s="168">
        <v>322</v>
      </c>
      <c r="GE188" s="168">
        <v>103484</v>
      </c>
      <c r="GF188" s="168">
        <v>56595</v>
      </c>
      <c r="GG188" s="21"/>
      <c r="GH188" s="21"/>
      <c r="GI188" s="21"/>
      <c r="GJ188" s="21"/>
      <c r="GK188" s="168">
        <v>5497</v>
      </c>
      <c r="GL188" s="168">
        <v>5424</v>
      </c>
      <c r="GM188" s="168">
        <v>2891132</v>
      </c>
      <c r="GN188" s="168">
        <v>1859034</v>
      </c>
      <c r="GO188" s="168">
        <v>4286235</v>
      </c>
      <c r="GP188" s="168">
        <v>3254210</v>
      </c>
      <c r="GQ188" s="21"/>
      <c r="GR188" s="21"/>
      <c r="GS188" s="168">
        <v>2891132</v>
      </c>
      <c r="GT188" s="168">
        <v>1859034</v>
      </c>
      <c r="GU188" s="168">
        <v>82483</v>
      </c>
      <c r="GV188" s="168">
        <v>62895</v>
      </c>
      <c r="GW188" s="168">
        <v>122060</v>
      </c>
      <c r="GX188" s="168">
        <v>62341</v>
      </c>
      <c r="GY188" s="168">
        <v>761359</v>
      </c>
      <c r="GZ188" s="168">
        <v>724976</v>
      </c>
      <c r="HA188" s="168">
        <v>10988260</v>
      </c>
      <c r="HB188" s="168">
        <v>10219778</v>
      </c>
      <c r="HC188" s="168">
        <v>4617284</v>
      </c>
      <c r="HD188" s="168">
        <v>4729377</v>
      </c>
      <c r="HE188" s="168">
        <v>68344</v>
      </c>
      <c r="HF188" s="168">
        <v>92065</v>
      </c>
      <c r="HG188" s="168">
        <v>189578</v>
      </c>
      <c r="HH188" s="168">
        <v>207496</v>
      </c>
      <c r="HI188" s="168">
        <v>1406</v>
      </c>
      <c r="HJ188" s="168">
        <v>160</v>
      </c>
      <c r="HK188" s="21"/>
      <c r="HL188" s="21"/>
      <c r="HM188" s="21"/>
      <c r="HN188" s="21"/>
      <c r="HO188" s="168">
        <v>2178942</v>
      </c>
      <c r="HP188" s="168">
        <v>2061670</v>
      </c>
      <c r="HQ188" s="168">
        <v>552</v>
      </c>
      <c r="HR188" s="168">
        <v>382</v>
      </c>
      <c r="HS188" s="168">
        <v>11</v>
      </c>
      <c r="HT188" s="168">
        <v>17</v>
      </c>
      <c r="HU188" s="168">
        <v>912848</v>
      </c>
      <c r="HV188" s="168">
        <v>904015</v>
      </c>
      <c r="HW188" s="21"/>
      <c r="HX188" s="21"/>
      <c r="HY188" s="168">
        <v>46575</v>
      </c>
      <c r="HZ188" s="168">
        <v>864</v>
      </c>
      <c r="IA188" s="168">
        <v>292288</v>
      </c>
      <c r="IB188" s="168">
        <v>368925</v>
      </c>
      <c r="IC188" s="21"/>
      <c r="ID188" s="21"/>
      <c r="IE188" s="168">
        <v>586402</v>
      </c>
      <c r="IF188" s="168">
        <v>499311</v>
      </c>
      <c r="IG188" s="168">
        <v>265398</v>
      </c>
      <c r="IH188" s="168">
        <v>277982</v>
      </c>
      <c r="II188" s="21"/>
      <c r="IJ188" s="21"/>
      <c r="IK188" s="21"/>
      <c r="IL188" s="21"/>
      <c r="IM188" s="168">
        <v>-45649</v>
      </c>
      <c r="IN188" s="168">
        <v>54767</v>
      </c>
      <c r="IO188" s="168">
        <v>285</v>
      </c>
      <c r="IP188" s="168">
        <v>322</v>
      </c>
      <c r="IQ188" s="21"/>
      <c r="IR188" s="21"/>
      <c r="IS188" s="21"/>
      <c r="IT188" s="168">
        <v>165</v>
      </c>
      <c r="IU188" s="168">
        <v>6324862</v>
      </c>
      <c r="IV188" s="168">
        <v>4800534</v>
      </c>
      <c r="IW188" s="168">
        <v>6400943</v>
      </c>
      <c r="IX188" s="168">
        <v>4870897</v>
      </c>
      <c r="IY188" s="168">
        <v>76081</v>
      </c>
      <c r="IZ188" s="168">
        <v>-70363</v>
      </c>
      <c r="JA188" s="168">
        <v>605110</v>
      </c>
      <c r="JB188" s="168">
        <v>579089</v>
      </c>
      <c r="JC188" s="21"/>
      <c r="JD188" s="21"/>
      <c r="JE188" s="168">
        <v>6587347</v>
      </c>
      <c r="JF188" s="168">
        <v>6252660</v>
      </c>
      <c r="JG188" s="21"/>
      <c r="JH188" s="21"/>
      <c r="JI188" s="168">
        <v>26960440</v>
      </c>
      <c r="JJ188" s="168">
        <v>25756640</v>
      </c>
      <c r="JK188" s="168">
        <v>265955</v>
      </c>
      <c r="JL188" s="168">
        <v>278365</v>
      </c>
      <c r="JM188" s="168">
        <v>560867</v>
      </c>
      <c r="JN188" s="168">
        <v>1634916</v>
      </c>
      <c r="JO188" s="168">
        <v>189874</v>
      </c>
      <c r="JP188" s="168">
        <v>208002</v>
      </c>
      <c r="JQ188" s="168">
        <v>-12676</v>
      </c>
      <c r="JR188" s="168">
        <v>-23713</v>
      </c>
      <c r="JS188" s="168">
        <v>-66533</v>
      </c>
      <c r="JT188" s="168">
        <v>-73288</v>
      </c>
      <c r="JU188" s="21"/>
      <c r="JV188" s="21"/>
      <c r="JW188" s="168">
        <v>32800516</v>
      </c>
      <c r="JX188" s="168">
        <v>29993521</v>
      </c>
      <c r="JY188" s="21"/>
      <c r="JZ188" s="21"/>
      <c r="KA188" s="168">
        <v>27041731</v>
      </c>
      <c r="KB188" s="168">
        <v>24569419</v>
      </c>
      <c r="KC188" s="21"/>
      <c r="KD188" s="21"/>
      <c r="KE188" s="168">
        <v>286945</v>
      </c>
      <c r="KF188" s="168">
        <v>365336</v>
      </c>
      <c r="KG188" s="21"/>
      <c r="KH188" s="21"/>
      <c r="KI188" s="168">
        <v>523503</v>
      </c>
      <c r="KJ188" s="168">
        <v>761172</v>
      </c>
      <c r="KK188" s="21"/>
      <c r="KL188" s="21"/>
      <c r="KM188" s="21"/>
      <c r="KN188" s="21"/>
      <c r="KO188" s="21"/>
      <c r="KP188" s="21"/>
      <c r="KQ188" s="168">
        <v>68268</v>
      </c>
      <c r="KR188" s="168">
        <v>82793</v>
      </c>
      <c r="KS188" s="21"/>
      <c r="KT188" s="21"/>
      <c r="KU188" s="168">
        <v>2169942</v>
      </c>
      <c r="KV188" s="21"/>
      <c r="KW188" s="21"/>
      <c r="KX188" s="21"/>
      <c r="KY188" s="168">
        <v>28207</v>
      </c>
      <c r="KZ188" s="168">
        <v>54680</v>
      </c>
      <c r="LA188" s="168">
        <v>15000000</v>
      </c>
      <c r="LB188" s="168">
        <v>15000000</v>
      </c>
      <c r="LC188" s="21"/>
      <c r="LD188" s="21"/>
      <c r="LE188" s="21"/>
      <c r="LF188" s="21"/>
      <c r="LG188" s="21"/>
      <c r="LH188" s="21"/>
      <c r="LI188" s="168">
        <v>3282513</v>
      </c>
      <c r="LJ188" s="168">
        <v>2662214</v>
      </c>
      <c r="LK188" s="168">
        <v>2016003</v>
      </c>
      <c r="LL188" s="168">
        <v>1951011</v>
      </c>
      <c r="LM188" s="21"/>
      <c r="LN188" s="21"/>
      <c r="LO188" s="21"/>
      <c r="LP188" s="21"/>
      <c r="LQ188" s="21"/>
      <c r="LR188" s="21"/>
      <c r="LS188" s="21"/>
      <c r="LT188" s="21"/>
      <c r="LU188" s="21"/>
      <c r="LV188" s="21"/>
      <c r="LW188" s="21"/>
      <c r="LX188" s="21"/>
      <c r="LY188" s="21"/>
      <c r="LZ188" s="21"/>
      <c r="MA188" s="168">
        <v>9501915</v>
      </c>
      <c r="MB188" s="168">
        <v>11365951</v>
      </c>
      <c r="MC188" s="168">
        <v>16159</v>
      </c>
      <c r="MD188" s="168">
        <v>15567</v>
      </c>
      <c r="ME188" s="21"/>
      <c r="MF188" s="21"/>
      <c r="MG188" s="21"/>
      <c r="MH188" s="21"/>
      <c r="MI188" s="168">
        <v>99970</v>
      </c>
      <c r="MJ188" s="168">
        <v>99970</v>
      </c>
      <c r="MK188" s="21"/>
      <c r="ML188" s="21"/>
      <c r="MM188" s="168">
        <v>216726</v>
      </c>
      <c r="MN188" s="168">
        <v>227230</v>
      </c>
      <c r="MO188" s="21"/>
      <c r="MP188" s="21"/>
      <c r="MQ188" s="21"/>
      <c r="MR188" s="21"/>
      <c r="MS188" s="21"/>
      <c r="MT188" s="21"/>
      <c r="MU188" s="168">
        <v>317708</v>
      </c>
      <c r="MV188" s="21"/>
      <c r="MW188" s="168">
        <v>114207</v>
      </c>
      <c r="MX188" s="21"/>
      <c r="MY188" s="21"/>
      <c r="MZ188" s="21"/>
      <c r="NA188" s="21"/>
      <c r="NB188" s="21"/>
      <c r="NC188" s="168">
        <v>2891132</v>
      </c>
      <c r="ND188" s="168">
        <v>1859034</v>
      </c>
      <c r="NE188" s="21"/>
      <c r="NF188" s="21"/>
      <c r="NG188" s="168">
        <v>20590726</v>
      </c>
      <c r="NH188" s="168">
        <v>17699594</v>
      </c>
      <c r="NI188" s="21"/>
      <c r="NJ188" s="21"/>
      <c r="NK188" s="21"/>
      <c r="NL188" s="21"/>
      <c r="NM188" s="21"/>
      <c r="NN188" s="21"/>
      <c r="NO188" s="168">
        <v>37495428</v>
      </c>
      <c r="NP188" s="168">
        <v>35915998</v>
      </c>
      <c r="NQ188" s="168" t="s">
        <v>882</v>
      </c>
      <c r="NR188" s="168" t="s">
        <v>797</v>
      </c>
      <c r="NS188" s="168" t="s">
        <v>770</v>
      </c>
      <c r="NT188" s="168" t="s">
        <v>771</v>
      </c>
      <c r="NU188" s="168">
        <v>8501</v>
      </c>
      <c r="NV188" s="168" t="s">
        <v>2104</v>
      </c>
      <c r="NW188" s="168" t="s">
        <v>28</v>
      </c>
      <c r="NX188" s="168" t="s">
        <v>25</v>
      </c>
      <c r="NY188" s="169">
        <v>42825</v>
      </c>
      <c r="NZ188" s="169">
        <v>42460</v>
      </c>
      <c r="OA188" s="169">
        <v>42963</v>
      </c>
      <c r="OB188" s="168" t="s">
        <v>1302</v>
      </c>
      <c r="OC188" s="168">
        <v>12</v>
      </c>
      <c r="OD188" s="168" t="s">
        <v>2105</v>
      </c>
      <c r="OE188" s="168" t="s">
        <v>2447</v>
      </c>
      <c r="OF188" s="168" t="s">
        <v>2448</v>
      </c>
      <c r="OG188" s="168" t="s">
        <v>1962</v>
      </c>
      <c r="OH188" s="168" t="s">
        <v>873</v>
      </c>
      <c r="OI188" s="168" t="s">
        <v>766</v>
      </c>
      <c r="OJ188" s="168" t="s">
        <v>3240</v>
      </c>
      <c r="OK188" s="168" t="s">
        <v>796</v>
      </c>
    </row>
    <row r="189" spans="1:401" x14ac:dyDescent="0.2">
      <c r="A189" s="170" t="str">
        <f>Liste[[#This Row],[Siren]]</f>
        <v>447857814</v>
      </c>
      <c r="B189" s="198" t="str">
        <f>Liste[[#This Row],[Dénomination]]&amp;" - comptes "&amp;YEAR(Liste[[#This Row],[Date de cloture de l''exercice]])</f>
        <v>MARSAFI - comptes 2017</v>
      </c>
      <c r="C189" s="21"/>
      <c r="D189" s="21"/>
      <c r="E189" s="21"/>
      <c r="F189" s="168">
        <v>1030102</v>
      </c>
      <c r="G189" s="168">
        <v>638509</v>
      </c>
      <c r="H189" s="168">
        <v>1030102</v>
      </c>
      <c r="I189" s="168">
        <v>4497676</v>
      </c>
      <c r="J189" s="168">
        <v>1834701</v>
      </c>
      <c r="K189" s="168">
        <v>2189598</v>
      </c>
      <c r="L189" s="168">
        <v>6332377</v>
      </c>
      <c r="M189" s="21"/>
      <c r="N189" s="168">
        <v>3587</v>
      </c>
      <c r="O189" s="21"/>
      <c r="P189" s="168">
        <v>3587</v>
      </c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168">
        <v>1530</v>
      </c>
      <c r="AB189" s="21"/>
      <c r="AC189" s="21"/>
      <c r="AD189" s="168">
        <v>15000</v>
      </c>
      <c r="AE189" s="21"/>
      <c r="AF189" s="168">
        <v>15000</v>
      </c>
      <c r="AG189" s="21"/>
      <c r="AH189" s="21"/>
      <c r="AI189" s="21"/>
      <c r="AJ189" s="21"/>
      <c r="AK189" s="21"/>
      <c r="AL189" s="168">
        <v>1000</v>
      </c>
      <c r="AM189" s="168">
        <v>1000</v>
      </c>
      <c r="AN189" s="168">
        <v>1000</v>
      </c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168">
        <v>235728</v>
      </c>
      <c r="BA189" s="168">
        <v>244489</v>
      </c>
      <c r="BB189" s="168">
        <v>235728</v>
      </c>
      <c r="BC189" s="168">
        <v>3423</v>
      </c>
      <c r="BD189" s="168">
        <v>665372</v>
      </c>
      <c r="BE189" s="168">
        <v>684075</v>
      </c>
      <c r="BF189" s="168">
        <v>668795</v>
      </c>
      <c r="BG189" s="168">
        <v>71143</v>
      </c>
      <c r="BH189" s="168">
        <v>896</v>
      </c>
      <c r="BI189" s="168">
        <v>2175</v>
      </c>
      <c r="BJ189" s="168">
        <v>72039</v>
      </c>
      <c r="BK189" s="168">
        <v>4894023</v>
      </c>
      <c r="BL189" s="168">
        <v>424955</v>
      </c>
      <c r="BM189" s="168">
        <v>482763</v>
      </c>
      <c r="BN189" s="168">
        <v>5318978</v>
      </c>
      <c r="BO189" s="21"/>
      <c r="BP189" s="21"/>
      <c r="BQ189" s="21"/>
      <c r="BR189" s="21"/>
      <c r="BS189" s="21"/>
      <c r="BT189" s="21"/>
      <c r="BU189" s="21"/>
      <c r="BV189" s="21"/>
      <c r="BW189" s="21"/>
      <c r="BX189" s="168">
        <v>86051</v>
      </c>
      <c r="BY189" s="168">
        <v>114835</v>
      </c>
      <c r="BZ189" s="168">
        <v>86051</v>
      </c>
      <c r="CA189" s="168">
        <v>-1</v>
      </c>
      <c r="CB189" s="168">
        <v>2</v>
      </c>
      <c r="CC189" s="168">
        <v>-1</v>
      </c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168">
        <v>7243177</v>
      </c>
      <c r="CR189" s="168">
        <v>7243177</v>
      </c>
      <c r="CS189" s="168">
        <v>7243177</v>
      </c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168">
        <v>1188</v>
      </c>
      <c r="DE189" s="21"/>
      <c r="DF189" s="168">
        <v>1860221</v>
      </c>
      <c r="DG189" s="168">
        <v>288920</v>
      </c>
      <c r="DH189" s="168">
        <v>363186</v>
      </c>
      <c r="DI189" s="168">
        <v>2149141</v>
      </c>
      <c r="DJ189" s="21"/>
      <c r="DK189" s="168">
        <v>3043545</v>
      </c>
      <c r="DL189" s="168">
        <v>3368464</v>
      </c>
      <c r="DM189" s="168">
        <v>3043545</v>
      </c>
      <c r="DN189" s="21"/>
      <c r="DO189" s="21"/>
      <c r="DP189" s="21"/>
      <c r="DQ189" s="21"/>
      <c r="DR189" s="21"/>
      <c r="DS189" s="168">
        <v>1228240</v>
      </c>
      <c r="DT189" s="168">
        <v>1170683</v>
      </c>
      <c r="DU189" s="168">
        <v>1228240</v>
      </c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168">
        <v>11323063</v>
      </c>
      <c r="EL189" s="168">
        <v>12896606</v>
      </c>
      <c r="EM189" s="168">
        <v>13311430</v>
      </c>
      <c r="EN189" s="168">
        <v>24219669</v>
      </c>
      <c r="EO189" s="168">
        <v>3423</v>
      </c>
      <c r="EP189" s="168">
        <v>5145943</v>
      </c>
      <c r="EQ189" s="168">
        <v>5111136</v>
      </c>
      <c r="ER189" s="168">
        <v>5149366</v>
      </c>
      <c r="ES189" s="168">
        <v>11326486</v>
      </c>
      <c r="ET189" s="168">
        <v>18042548</v>
      </c>
      <c r="EU189" s="168">
        <v>18422568</v>
      </c>
      <c r="EV189" s="168">
        <v>29369034</v>
      </c>
      <c r="EW189" s="21"/>
      <c r="EX189" s="168">
        <v>1857130</v>
      </c>
      <c r="EY189" s="168">
        <v>1857130</v>
      </c>
      <c r="EZ189" s="168">
        <v>1857130</v>
      </c>
      <c r="FA189" s="21"/>
      <c r="FB189" s="21"/>
      <c r="FC189" s="21"/>
      <c r="FD189" s="21"/>
      <c r="FE189" s="21"/>
      <c r="FF189" s="21"/>
      <c r="FG189" s="21"/>
      <c r="FH189" s="21"/>
      <c r="FI189" s="168">
        <v>-15839</v>
      </c>
      <c r="FJ189" s="168">
        <v>106216</v>
      </c>
      <c r="FK189" s="21"/>
      <c r="FL189" s="21"/>
      <c r="FM189" s="168">
        <v>76654</v>
      </c>
      <c r="FN189" s="168">
        <v>131604</v>
      </c>
      <c r="FO189" s="168">
        <v>1530</v>
      </c>
      <c r="FP189" s="168">
        <v>116318</v>
      </c>
      <c r="FQ189" s="21"/>
      <c r="FR189" s="21"/>
      <c r="FS189" s="21"/>
      <c r="FT189" s="168">
        <v>-1</v>
      </c>
      <c r="FU189" s="168">
        <v>-27780</v>
      </c>
      <c r="FV189" s="168">
        <v>-14329</v>
      </c>
      <c r="FW189" s="168">
        <v>-90506</v>
      </c>
      <c r="FX189" s="168">
        <v>204246</v>
      </c>
      <c r="FY189" s="168">
        <v>-1750</v>
      </c>
      <c r="FZ189" s="168">
        <v>7938</v>
      </c>
      <c r="GA189" s="21"/>
      <c r="GB189" s="21"/>
      <c r="GC189" s="168">
        <v>57894</v>
      </c>
      <c r="GD189" s="168">
        <v>259230</v>
      </c>
      <c r="GE189" s="168">
        <v>4452</v>
      </c>
      <c r="GF189" s="168">
        <v>94907</v>
      </c>
      <c r="GG189" s="21"/>
      <c r="GH189" s="21"/>
      <c r="GI189" s="21"/>
      <c r="GJ189" s="21"/>
      <c r="GK189" s="168">
        <v>-1</v>
      </c>
      <c r="GL189" s="21"/>
      <c r="GM189" s="168">
        <v>-255077</v>
      </c>
      <c r="GN189" s="168">
        <v>446177</v>
      </c>
      <c r="GO189" s="168">
        <v>-255077</v>
      </c>
      <c r="GP189" s="168">
        <v>446177</v>
      </c>
      <c r="GQ189" s="21"/>
      <c r="GR189" s="21"/>
      <c r="GS189" s="168">
        <v>-253327</v>
      </c>
      <c r="GT189" s="168">
        <v>438239</v>
      </c>
      <c r="GU189" s="168">
        <v>78184</v>
      </c>
      <c r="GV189" s="168">
        <v>247921</v>
      </c>
      <c r="GW189" s="168">
        <v>62345</v>
      </c>
      <c r="GX189" s="168">
        <v>354137</v>
      </c>
      <c r="GY189" s="168">
        <v>35817927</v>
      </c>
      <c r="GZ189" s="168">
        <v>36619528</v>
      </c>
      <c r="HA189" s="168">
        <v>77120</v>
      </c>
      <c r="HB189" s="168">
        <v>60294</v>
      </c>
      <c r="HC189" s="168">
        <v>3586248</v>
      </c>
      <c r="HD189" s="168">
        <v>2901331</v>
      </c>
      <c r="HE189" s="168">
        <v>-105317</v>
      </c>
      <c r="HF189" s="168">
        <v>3736</v>
      </c>
      <c r="HG189" s="168">
        <v>-46795</v>
      </c>
      <c r="HH189" s="168">
        <v>-19196</v>
      </c>
      <c r="HI189" s="168">
        <v>250307</v>
      </c>
      <c r="HJ189" s="168">
        <v>165799</v>
      </c>
      <c r="HK189" s="21"/>
      <c r="HL189" s="21"/>
      <c r="HM189" s="21"/>
      <c r="HN189" s="21"/>
      <c r="HO189" s="168">
        <v>933058</v>
      </c>
      <c r="HP189" s="168">
        <v>954453</v>
      </c>
      <c r="HQ189" s="21"/>
      <c r="HR189" s="21"/>
      <c r="HS189" s="21"/>
      <c r="HT189" s="21"/>
      <c r="HU189" s="168">
        <v>715589</v>
      </c>
      <c r="HV189" s="168">
        <v>758130</v>
      </c>
      <c r="HW189" s="21"/>
      <c r="HX189" s="21"/>
      <c r="HY189" s="168">
        <v>87251</v>
      </c>
      <c r="HZ189" s="168">
        <v>31552</v>
      </c>
      <c r="IA189" s="168">
        <v>3423</v>
      </c>
      <c r="IB189" s="168">
        <v>95720</v>
      </c>
      <c r="IC189" s="21"/>
      <c r="ID189" s="21"/>
      <c r="IE189" s="168">
        <v>715787</v>
      </c>
      <c r="IF189" s="168">
        <v>730420</v>
      </c>
      <c r="IG189" s="168">
        <v>162257</v>
      </c>
      <c r="IH189" s="168">
        <v>150455</v>
      </c>
      <c r="II189" s="21"/>
      <c r="IJ189" s="21"/>
      <c r="IK189" s="21"/>
      <c r="IL189" s="21"/>
      <c r="IM189" s="21"/>
      <c r="IN189" s="21"/>
      <c r="IO189" s="21"/>
      <c r="IP189" s="21"/>
      <c r="IQ189" s="168">
        <v>46889</v>
      </c>
      <c r="IR189" s="168">
        <v>19283</v>
      </c>
      <c r="IS189" s="21"/>
      <c r="IT189" s="21"/>
      <c r="IU189" s="168">
        <v>-357524</v>
      </c>
      <c r="IV189" s="168">
        <v>529878</v>
      </c>
      <c r="IW189" s="168">
        <v>-195362</v>
      </c>
      <c r="IX189" s="168">
        <v>680245</v>
      </c>
      <c r="IY189" s="168">
        <v>-162162</v>
      </c>
      <c r="IZ189" s="168">
        <v>-150367</v>
      </c>
      <c r="JA189" s="168">
        <v>334522</v>
      </c>
      <c r="JB189" s="168">
        <v>105612</v>
      </c>
      <c r="JC189" s="21"/>
      <c r="JD189" s="21"/>
      <c r="JE189" s="168">
        <v>2831761</v>
      </c>
      <c r="JF189" s="168">
        <v>2865416</v>
      </c>
      <c r="JG189" s="168">
        <v>36195</v>
      </c>
      <c r="JH189" s="168">
        <v>24555</v>
      </c>
      <c r="JI189" s="168">
        <v>45066477</v>
      </c>
      <c r="JJ189" s="168">
        <v>45006682</v>
      </c>
      <c r="JK189" s="168">
        <v>162256</v>
      </c>
      <c r="JL189" s="168">
        <v>150456</v>
      </c>
      <c r="JM189" s="168">
        <v>44871115</v>
      </c>
      <c r="JN189" s="168">
        <v>45686927</v>
      </c>
      <c r="JO189" s="168">
        <v>94</v>
      </c>
      <c r="JP189" s="168">
        <v>89</v>
      </c>
      <c r="JQ189" s="168">
        <v>403630</v>
      </c>
      <c r="JR189" s="168">
        <v>-13898</v>
      </c>
      <c r="JS189" s="21"/>
      <c r="JT189" s="21"/>
      <c r="JU189" s="21"/>
      <c r="JV189" s="168">
        <v>44250091</v>
      </c>
      <c r="JW189" s="168">
        <v>44250091</v>
      </c>
      <c r="JX189" s="168">
        <v>45390961</v>
      </c>
      <c r="JY189" s="21"/>
      <c r="JZ189" s="168">
        <v>10785</v>
      </c>
      <c r="KA189" s="168">
        <v>10785</v>
      </c>
      <c r="KB189" s="168">
        <v>11722</v>
      </c>
      <c r="KC189" s="21"/>
      <c r="KD189" s="168">
        <v>762765</v>
      </c>
      <c r="KE189" s="168">
        <v>762765</v>
      </c>
      <c r="KF189" s="168">
        <v>925556</v>
      </c>
      <c r="KG189" s="21"/>
      <c r="KH189" s="168">
        <v>43476541</v>
      </c>
      <c r="KI189" s="168">
        <v>43476541</v>
      </c>
      <c r="KJ189" s="168">
        <v>44453683</v>
      </c>
      <c r="KK189" s="21"/>
      <c r="KL189" s="21"/>
      <c r="KM189" s="21"/>
      <c r="KN189" s="21"/>
      <c r="KO189" s="21"/>
      <c r="KP189" s="21"/>
      <c r="KQ189" s="168">
        <v>131940</v>
      </c>
      <c r="KR189" s="168">
        <v>169103</v>
      </c>
      <c r="KS189" s="21"/>
      <c r="KT189" s="21"/>
      <c r="KU189" s="168">
        <v>1648468</v>
      </c>
      <c r="KV189" s="168">
        <v>1010847</v>
      </c>
      <c r="KW189" s="21"/>
      <c r="KX189" s="21"/>
      <c r="KY189" s="21"/>
      <c r="KZ189" s="21"/>
      <c r="LA189" s="168">
        <v>39000</v>
      </c>
      <c r="LB189" s="168">
        <v>39000</v>
      </c>
      <c r="LC189" s="21"/>
      <c r="LD189" s="21"/>
      <c r="LE189" s="21"/>
      <c r="LF189" s="21"/>
      <c r="LG189" s="21"/>
      <c r="LH189" s="21"/>
      <c r="LI189" s="168">
        <v>1133678</v>
      </c>
      <c r="LJ189" s="168">
        <v>1084551</v>
      </c>
      <c r="LK189" s="168">
        <v>2566351</v>
      </c>
      <c r="LL189" s="168">
        <v>2650024</v>
      </c>
      <c r="LM189" s="21"/>
      <c r="LN189" s="168">
        <v>38955</v>
      </c>
      <c r="LO189" s="21"/>
      <c r="LP189" s="21"/>
      <c r="LQ189" s="21"/>
      <c r="LR189" s="21"/>
      <c r="LS189" s="168">
        <v>12808801</v>
      </c>
      <c r="LT189" s="21"/>
      <c r="LU189" s="21"/>
      <c r="LV189" s="21"/>
      <c r="LW189" s="21"/>
      <c r="LX189" s="21"/>
      <c r="LY189" s="21"/>
      <c r="LZ189" s="21"/>
      <c r="MA189" s="168">
        <v>8438487</v>
      </c>
      <c r="MB189" s="168">
        <v>8416161</v>
      </c>
      <c r="MC189" s="168">
        <v>48175</v>
      </c>
      <c r="MD189" s="168">
        <v>67039</v>
      </c>
      <c r="ME189" s="21"/>
      <c r="MF189" s="21"/>
      <c r="MG189" s="168">
        <v>58974</v>
      </c>
      <c r="MH189" s="168">
        <v>62374</v>
      </c>
      <c r="MI189" s="21"/>
      <c r="MJ189" s="21"/>
      <c r="MK189" s="21"/>
      <c r="ML189" s="21"/>
      <c r="MM189" s="168">
        <v>2940</v>
      </c>
      <c r="MN189" s="168">
        <v>2940</v>
      </c>
      <c r="MO189" s="168">
        <v>87251</v>
      </c>
      <c r="MP189" s="168">
        <v>93076</v>
      </c>
      <c r="MQ189" s="21"/>
      <c r="MR189" s="21"/>
      <c r="MS189" s="21"/>
      <c r="MT189" s="21"/>
      <c r="MU189" s="21"/>
      <c r="MV189" s="21"/>
      <c r="MW189" s="168">
        <v>3900</v>
      </c>
      <c r="MX189" s="168">
        <v>3900</v>
      </c>
      <c r="MY189" s="21"/>
      <c r="MZ189" s="21"/>
      <c r="NA189" s="21"/>
      <c r="NB189" s="21"/>
      <c r="NC189" s="168">
        <v>-253327</v>
      </c>
      <c r="ND189" s="168">
        <v>438239</v>
      </c>
      <c r="NE189" s="21"/>
      <c r="NF189" s="21"/>
      <c r="NG189" s="168">
        <v>5181334</v>
      </c>
      <c r="NH189" s="168">
        <v>5434665</v>
      </c>
      <c r="NI189" s="21"/>
      <c r="NJ189" s="21"/>
      <c r="NK189" s="168">
        <v>3321</v>
      </c>
      <c r="NL189" s="168">
        <v>23654</v>
      </c>
      <c r="NM189" s="21"/>
      <c r="NN189" s="21"/>
      <c r="NO189" s="168">
        <v>18042548</v>
      </c>
      <c r="NP189" s="168">
        <v>12711668</v>
      </c>
      <c r="NQ189" s="168" t="s">
        <v>3376</v>
      </c>
      <c r="NR189" s="168" t="s">
        <v>823</v>
      </c>
      <c r="NS189" s="168" t="s">
        <v>770</v>
      </c>
      <c r="NT189" s="168" t="s">
        <v>771</v>
      </c>
      <c r="NU189" s="168">
        <v>2104</v>
      </c>
      <c r="NV189" s="168" t="s">
        <v>2104</v>
      </c>
      <c r="NW189" s="168" t="s">
        <v>28</v>
      </c>
      <c r="NX189" s="168" t="s">
        <v>25</v>
      </c>
      <c r="NY189" s="169">
        <v>42825</v>
      </c>
      <c r="NZ189" s="169">
        <v>42460</v>
      </c>
      <c r="OA189" s="169">
        <v>43117</v>
      </c>
      <c r="OB189" s="168" t="s">
        <v>1389</v>
      </c>
      <c r="OC189" s="168">
        <v>12</v>
      </c>
      <c r="OD189" s="168" t="s">
        <v>2105</v>
      </c>
      <c r="OE189" s="168" t="s">
        <v>2126</v>
      </c>
      <c r="OF189" s="168" t="s">
        <v>2511</v>
      </c>
      <c r="OG189" s="168" t="s">
        <v>2000</v>
      </c>
      <c r="OH189" s="168" t="s">
        <v>913</v>
      </c>
      <c r="OI189" s="168" t="s">
        <v>766</v>
      </c>
      <c r="OJ189" s="168" t="s">
        <v>3240</v>
      </c>
      <c r="OK189" s="168" t="s">
        <v>822</v>
      </c>
    </row>
    <row r="190" spans="1:401" x14ac:dyDescent="0.2">
      <c r="A190" s="170" t="str">
        <f>Liste[[#This Row],[Siren]]</f>
        <v>513254920</v>
      </c>
      <c r="B190" s="198" t="str">
        <f>Liste[[#This Row],[Dénomination]]&amp;" - comptes "&amp;YEAR(Liste[[#This Row],[Date de cloture de l''exercice]])</f>
        <v>BARROIDIS - comptes 2017</v>
      </c>
      <c r="C190" s="21"/>
      <c r="D190" s="21"/>
      <c r="E190" s="21"/>
      <c r="F190" s="168">
        <v>1853793</v>
      </c>
      <c r="G190" s="168">
        <v>1398359</v>
      </c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168">
        <v>839812</v>
      </c>
      <c r="BE190" s="168">
        <v>851160</v>
      </c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168">
        <v>205587</v>
      </c>
      <c r="BY190" s="168">
        <v>235194</v>
      </c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168">
        <v>16565966</v>
      </c>
      <c r="EM190" s="168">
        <v>21611309</v>
      </c>
      <c r="EN190" s="21"/>
      <c r="EO190" s="21"/>
      <c r="EP190" s="168">
        <v>8871844</v>
      </c>
      <c r="EQ190" s="168">
        <v>8231030</v>
      </c>
      <c r="ER190" s="21"/>
      <c r="ES190" s="21"/>
      <c r="ET190" s="168">
        <v>338356</v>
      </c>
      <c r="EU190" s="168">
        <v>360311</v>
      </c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168">
        <v>100030</v>
      </c>
      <c r="FG190" s="168">
        <v>100027</v>
      </c>
      <c r="FH190" s="21"/>
      <c r="FI190" s="168">
        <v>7252</v>
      </c>
      <c r="FJ190" s="168">
        <v>119899</v>
      </c>
      <c r="FK190" s="21"/>
      <c r="FL190" s="21"/>
      <c r="FM190" s="21"/>
      <c r="FN190" s="21"/>
      <c r="FO190" s="21"/>
      <c r="FP190" s="21"/>
      <c r="FQ190" s="21"/>
      <c r="FR190" s="21"/>
      <c r="FS190" s="21"/>
      <c r="FT190" s="21"/>
      <c r="FU190" s="21"/>
      <c r="FV190" s="21"/>
      <c r="FW190" s="168">
        <v>197439</v>
      </c>
      <c r="FX190" s="168">
        <v>207638</v>
      </c>
      <c r="FY190" s="168">
        <v>2212</v>
      </c>
      <c r="FZ190" s="168">
        <v>2472</v>
      </c>
      <c r="GA190" s="21"/>
      <c r="GB190" s="21"/>
      <c r="GC190" s="21"/>
      <c r="GD190" s="21"/>
      <c r="GE190" s="21"/>
      <c r="GF190" s="21"/>
      <c r="GG190" s="21"/>
      <c r="GH190" s="21"/>
      <c r="GI190" s="21"/>
      <c r="GJ190" s="21"/>
      <c r="GK190" s="21"/>
      <c r="GL190" s="21"/>
      <c r="GM190" s="168">
        <v>905633</v>
      </c>
      <c r="GN190" s="168">
        <v>1110055</v>
      </c>
      <c r="GO190" s="168">
        <v>905633</v>
      </c>
      <c r="GP190" s="168">
        <v>1110055</v>
      </c>
      <c r="GQ190" s="21"/>
      <c r="GR190" s="21"/>
      <c r="GS190" s="168">
        <v>903421</v>
      </c>
      <c r="GT190" s="168">
        <v>1107583</v>
      </c>
      <c r="GU190" s="168">
        <v>77556</v>
      </c>
      <c r="GV190" s="168">
        <v>159259</v>
      </c>
      <c r="GW190" s="168">
        <v>84808</v>
      </c>
      <c r="GX190" s="168">
        <v>279158</v>
      </c>
      <c r="GY190" s="21"/>
      <c r="GZ190" s="21"/>
      <c r="HA190" s="21"/>
      <c r="HB190" s="21"/>
      <c r="HC190" s="168">
        <v>3082286</v>
      </c>
      <c r="HD190" s="168">
        <v>3430700</v>
      </c>
      <c r="HE190" s="21"/>
      <c r="HF190" s="21"/>
      <c r="HG190" s="21"/>
      <c r="HH190" s="21"/>
      <c r="HI190" s="168">
        <v>544170</v>
      </c>
      <c r="HJ190" s="168">
        <v>495195</v>
      </c>
      <c r="HK190" s="21"/>
      <c r="HL190" s="21"/>
      <c r="HM190" s="21"/>
      <c r="HN190" s="21"/>
      <c r="HO190" s="21"/>
      <c r="HP190" s="21"/>
      <c r="HQ190" s="21"/>
      <c r="HR190" s="21"/>
      <c r="HS190" s="21"/>
      <c r="HT190" s="21"/>
      <c r="HU190" s="168">
        <v>1378399</v>
      </c>
      <c r="HV190" s="168">
        <v>1313751</v>
      </c>
      <c r="HW190" s="21"/>
      <c r="HX190" s="21"/>
      <c r="HY190" s="168">
        <v>55240</v>
      </c>
      <c r="HZ190" s="21"/>
      <c r="IA190" s="21"/>
      <c r="IB190" s="21"/>
      <c r="IC190" s="21"/>
      <c r="ID190" s="21"/>
      <c r="IE190" s="168">
        <v>1123567</v>
      </c>
      <c r="IF190" s="168">
        <v>1072950</v>
      </c>
      <c r="IG190" s="21"/>
      <c r="IH190" s="21"/>
      <c r="II190" s="21"/>
      <c r="IJ190" s="21"/>
      <c r="IK190" s="21"/>
      <c r="IL190" s="21"/>
      <c r="IM190" s="21"/>
      <c r="IN190" s="21"/>
      <c r="IO190" s="21"/>
      <c r="IP190" s="21"/>
      <c r="IQ190" s="21"/>
      <c r="IR190" s="21"/>
      <c r="IS190" s="21"/>
      <c r="IT190" s="21"/>
      <c r="IU190" s="168">
        <v>1095820</v>
      </c>
      <c r="IV190" s="168">
        <v>1197794</v>
      </c>
      <c r="IW190" s="168">
        <v>1416003</v>
      </c>
      <c r="IX190" s="168">
        <v>1545015</v>
      </c>
      <c r="IY190" s="168">
        <v>-320183</v>
      </c>
      <c r="IZ190" s="168">
        <v>-347221</v>
      </c>
      <c r="JA190" s="168">
        <v>96993</v>
      </c>
      <c r="JB190" s="168">
        <v>158033</v>
      </c>
      <c r="JC190" s="21"/>
      <c r="JD190" s="21"/>
      <c r="JE190" s="168">
        <v>7099232</v>
      </c>
      <c r="JF190" s="168">
        <v>6856932</v>
      </c>
      <c r="JG190" s="168">
        <v>65359</v>
      </c>
      <c r="JH190" s="168">
        <v>69909</v>
      </c>
      <c r="JI190" s="168">
        <v>60649649</v>
      </c>
      <c r="JJ190" s="168">
        <v>60784145</v>
      </c>
      <c r="JK190" s="168">
        <v>325814</v>
      </c>
      <c r="JL190" s="168">
        <v>357571</v>
      </c>
      <c r="JM190" s="168">
        <v>62065652</v>
      </c>
      <c r="JN190" s="168">
        <v>62329160</v>
      </c>
      <c r="JO190" s="168">
        <v>5631</v>
      </c>
      <c r="JP190" s="168">
        <v>10350</v>
      </c>
      <c r="JQ190" s="21"/>
      <c r="JR190" s="21"/>
      <c r="JS190" s="21"/>
      <c r="JT190" s="21"/>
      <c r="JU190" s="21"/>
      <c r="JV190" s="21"/>
      <c r="JW190" s="168">
        <v>61359130</v>
      </c>
      <c r="JX190" s="168">
        <v>61606023</v>
      </c>
      <c r="JY190" s="21"/>
      <c r="JZ190" s="21"/>
      <c r="KA190" s="21"/>
      <c r="KB190" s="21"/>
      <c r="KC190" s="21"/>
      <c r="KD190" s="21"/>
      <c r="KE190" s="21"/>
      <c r="KF190" s="21"/>
      <c r="KG190" s="21"/>
      <c r="KH190" s="21"/>
      <c r="KI190" s="168">
        <v>55499898</v>
      </c>
      <c r="KJ190" s="168">
        <v>55515355</v>
      </c>
      <c r="KK190" s="21"/>
      <c r="KL190" s="21"/>
      <c r="KM190" s="21"/>
      <c r="KN190" s="21"/>
      <c r="KO190" s="21"/>
      <c r="KP190" s="21"/>
      <c r="KQ190" s="168">
        <v>155416</v>
      </c>
      <c r="KR190" s="168">
        <v>164076</v>
      </c>
      <c r="KS190" s="21"/>
      <c r="KT190" s="21"/>
      <c r="KU190" s="21"/>
      <c r="KV190" s="21"/>
      <c r="KW190" s="21"/>
      <c r="KX190" s="21"/>
      <c r="KY190" s="21"/>
      <c r="KZ190" s="21"/>
      <c r="LA190" s="168">
        <v>40000</v>
      </c>
      <c r="LB190" s="168">
        <v>40000</v>
      </c>
      <c r="LC190" s="21"/>
      <c r="LD190" s="21"/>
      <c r="LE190" s="21"/>
      <c r="LF190" s="21"/>
      <c r="LG190" s="21"/>
      <c r="LH190" s="21"/>
      <c r="LI190" s="168">
        <v>2962836</v>
      </c>
      <c r="LJ190" s="168">
        <v>2669569</v>
      </c>
      <c r="LK190" s="168">
        <v>4556806</v>
      </c>
      <c r="LL190" s="168">
        <v>4096681</v>
      </c>
      <c r="LM190" s="168">
        <v>6180</v>
      </c>
      <c r="LN190" s="168">
        <v>36417</v>
      </c>
      <c r="LO190" s="21"/>
      <c r="LP190" s="21"/>
      <c r="LQ190" s="21"/>
      <c r="LR190" s="21"/>
      <c r="LS190" s="21"/>
      <c r="LT190" s="21"/>
      <c r="LU190" s="21"/>
      <c r="LV190" s="21"/>
      <c r="LW190" s="21"/>
      <c r="LX190" s="21"/>
      <c r="LY190" s="21"/>
      <c r="LZ190" s="21"/>
      <c r="MA190" s="21"/>
      <c r="MB190" s="21"/>
      <c r="MC190" s="168">
        <v>16165520</v>
      </c>
      <c r="MD190" s="168">
        <v>15987824</v>
      </c>
      <c r="ME190" s="21"/>
      <c r="MF190" s="21"/>
      <c r="MG190" s="21"/>
      <c r="MH190" s="21"/>
      <c r="MI190" s="21"/>
      <c r="MJ190" s="21"/>
      <c r="MK190" s="21"/>
      <c r="ML190" s="21"/>
      <c r="MM190" s="21"/>
      <c r="MN190" s="21"/>
      <c r="MO190" s="21"/>
      <c r="MP190" s="21"/>
      <c r="MQ190" s="21"/>
      <c r="MR190" s="21"/>
      <c r="MS190" s="21"/>
      <c r="MT190" s="21"/>
      <c r="MU190" s="21"/>
      <c r="MV190" s="21"/>
      <c r="MW190" s="21"/>
      <c r="MX190" s="21"/>
      <c r="MY190" s="21"/>
      <c r="MZ190" s="21"/>
      <c r="NA190" s="21"/>
      <c r="NB190" s="21"/>
      <c r="NC190" s="168">
        <v>903421</v>
      </c>
      <c r="ND190" s="168">
        <v>1107583</v>
      </c>
      <c r="NE190" s="21"/>
      <c r="NF190" s="21"/>
      <c r="NG190" s="168">
        <v>6144671</v>
      </c>
      <c r="NH190" s="168">
        <v>5491249</v>
      </c>
      <c r="NI190" s="21"/>
      <c r="NJ190" s="21"/>
      <c r="NK190" s="168">
        <v>21824</v>
      </c>
      <c r="NL190" s="168">
        <v>41045</v>
      </c>
      <c r="NM190" s="168">
        <v>23846758</v>
      </c>
      <c r="NN190" s="168">
        <v>22954567</v>
      </c>
      <c r="NO190" s="168">
        <v>31864019</v>
      </c>
      <c r="NP190" s="168">
        <v>30202650</v>
      </c>
      <c r="NQ190" s="168" t="s">
        <v>3380</v>
      </c>
      <c r="NR190" s="168" t="s">
        <v>823</v>
      </c>
      <c r="NS190" s="168" t="s">
        <v>770</v>
      </c>
      <c r="NT190" s="168" t="s">
        <v>771</v>
      </c>
      <c r="NU190" s="168">
        <v>5501</v>
      </c>
      <c r="NV190" s="168" t="s">
        <v>2104</v>
      </c>
      <c r="NW190" s="168" t="s">
        <v>28</v>
      </c>
      <c r="NX190" s="168" t="s">
        <v>25</v>
      </c>
      <c r="NY190" s="169">
        <v>42825</v>
      </c>
      <c r="NZ190" s="169">
        <v>42460</v>
      </c>
      <c r="OA190" s="169">
        <v>43129</v>
      </c>
      <c r="OB190" s="168" t="s">
        <v>3381</v>
      </c>
      <c r="OC190" s="168">
        <v>12</v>
      </c>
      <c r="OD190" s="168" t="s">
        <v>2105</v>
      </c>
      <c r="OE190" s="168" t="s">
        <v>3382</v>
      </c>
      <c r="OF190" s="168" t="s">
        <v>3383</v>
      </c>
      <c r="OG190" s="168" t="s">
        <v>3384</v>
      </c>
      <c r="OH190" s="168" t="s">
        <v>865</v>
      </c>
      <c r="OI190" s="168" t="s">
        <v>766</v>
      </c>
      <c r="OJ190" s="168" t="s">
        <v>3240</v>
      </c>
      <c r="OK190" s="168" t="s">
        <v>822</v>
      </c>
    </row>
    <row r="191" spans="1:401" x14ac:dyDescent="0.2">
      <c r="A191" s="170" t="str">
        <f>Liste[[#This Row],[Siren]]</f>
        <v>302178892</v>
      </c>
      <c r="B191" s="198" t="str">
        <f>Liste[[#This Row],[Dénomination]]&amp;" - comptes "&amp;YEAR(Liste[[#This Row],[Date de cloture de l''exercice]])</f>
        <v>REMY COINTREAU - comptes 2017</v>
      </c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168">
        <v>982900000</v>
      </c>
      <c r="EM191" s="168">
        <v>87500000</v>
      </c>
      <c r="EN191" s="21"/>
      <c r="EO191" s="21"/>
      <c r="EP191" s="168">
        <v>1458600000</v>
      </c>
      <c r="EQ191" s="168">
        <v>1406500000</v>
      </c>
      <c r="ER191" s="21"/>
      <c r="ES191" s="21"/>
      <c r="ET191" s="168">
        <v>2441500000</v>
      </c>
      <c r="EU191" s="168">
        <v>2281500000</v>
      </c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  <c r="FK191" s="21"/>
      <c r="FL191" s="21"/>
      <c r="FM191" s="21"/>
      <c r="FN191" s="21"/>
      <c r="FO191" s="21"/>
      <c r="FP191" s="21"/>
      <c r="FQ191" s="21"/>
      <c r="FR191" s="21"/>
      <c r="FS191" s="21"/>
      <c r="FT191" s="21"/>
      <c r="FU191" s="21"/>
      <c r="FV191" s="21"/>
      <c r="FW191" s="168">
        <v>-44500000</v>
      </c>
      <c r="FX191" s="168">
        <v>-44100000</v>
      </c>
      <c r="FY191" s="21"/>
      <c r="FZ191" s="21"/>
      <c r="GA191" s="21"/>
      <c r="GB191" s="21"/>
      <c r="GC191" s="21"/>
      <c r="GD191" s="21"/>
      <c r="GE191" s="21"/>
      <c r="GF191" s="21"/>
      <c r="GG191" s="21"/>
      <c r="GH191" s="21"/>
      <c r="GI191" s="21"/>
      <c r="GJ191" s="21"/>
      <c r="GK191" s="21"/>
      <c r="GL191" s="21"/>
      <c r="GM191" s="21"/>
      <c r="GN191" s="21"/>
      <c r="GO191" s="21"/>
      <c r="GP191" s="21"/>
      <c r="GQ191" s="21"/>
      <c r="GR191" s="21"/>
      <c r="GS191" s="21"/>
      <c r="GT191" s="21"/>
      <c r="GU191" s="21"/>
      <c r="GV191" s="21"/>
      <c r="GW191" s="21"/>
      <c r="GX191" s="21"/>
      <c r="GY191" s="21"/>
      <c r="GZ191" s="21"/>
      <c r="HA191" s="21"/>
      <c r="HB191" s="21"/>
      <c r="HC191" s="21"/>
      <c r="HD191" s="21"/>
      <c r="HE191" s="21"/>
      <c r="HF191" s="21"/>
      <c r="HG191" s="21"/>
      <c r="HH191" s="21"/>
      <c r="HI191" s="21"/>
      <c r="HJ191" s="21"/>
      <c r="HK191" s="21"/>
      <c r="HL191" s="21"/>
      <c r="HM191" s="21"/>
      <c r="HN191" s="21"/>
      <c r="HO191" s="21"/>
      <c r="HP191" s="21"/>
      <c r="HQ191" s="21"/>
      <c r="HR191" s="21"/>
      <c r="HS191" s="21"/>
      <c r="HT191" s="21"/>
      <c r="HU191" s="21"/>
      <c r="HV191" s="21"/>
      <c r="HW191" s="21"/>
      <c r="HX191" s="21"/>
      <c r="HY191" s="21"/>
      <c r="HZ191" s="21"/>
      <c r="IA191" s="21"/>
      <c r="IB191" s="21"/>
      <c r="IC191" s="21"/>
      <c r="ID191" s="21"/>
      <c r="IE191" s="21"/>
      <c r="IF191" s="21"/>
      <c r="IG191" s="21"/>
      <c r="IH191" s="21"/>
      <c r="II191" s="21"/>
      <c r="IJ191" s="21"/>
      <c r="IK191" s="21"/>
      <c r="IL191" s="21"/>
      <c r="IM191" s="21"/>
      <c r="IN191" s="21"/>
      <c r="IO191" s="21"/>
      <c r="IP191" s="21"/>
      <c r="IQ191" s="21"/>
      <c r="IR191" s="21"/>
      <c r="IS191" s="21"/>
      <c r="IT191" s="21"/>
      <c r="IU191" s="168">
        <v>189400000</v>
      </c>
      <c r="IV191" s="168">
        <v>151400000</v>
      </c>
      <c r="IW191" s="21"/>
      <c r="IX191" s="21"/>
      <c r="IY191" s="168">
        <v>-31900000</v>
      </c>
      <c r="IZ191" s="168">
        <v>-27300000</v>
      </c>
      <c r="JA191" s="21"/>
      <c r="JB191" s="21"/>
      <c r="JC191" s="21"/>
      <c r="JD191" s="21"/>
      <c r="JE191" s="21"/>
      <c r="JF191" s="21"/>
      <c r="JG191" s="21"/>
      <c r="JH191" s="21"/>
      <c r="JI191" s="21"/>
      <c r="JJ191" s="21"/>
      <c r="JK191" s="21"/>
      <c r="JL191" s="21"/>
      <c r="JM191" s="21"/>
      <c r="JN191" s="21"/>
      <c r="JO191" s="21"/>
      <c r="JP191" s="21"/>
      <c r="JQ191" s="21"/>
      <c r="JR191" s="21"/>
      <c r="JS191" s="21"/>
      <c r="JT191" s="21"/>
      <c r="JU191" s="21"/>
      <c r="JV191" s="21"/>
      <c r="JW191" s="168">
        <v>1094900000</v>
      </c>
      <c r="JX191" s="168">
        <v>1050700000</v>
      </c>
      <c r="JY191" s="21"/>
      <c r="JZ191" s="21"/>
      <c r="KA191" s="21"/>
      <c r="KB191" s="21"/>
      <c r="KC191" s="21"/>
      <c r="KD191" s="21"/>
      <c r="KE191" s="21"/>
      <c r="KF191" s="21"/>
      <c r="KG191" s="21"/>
      <c r="KH191" s="21"/>
      <c r="KI191" s="21"/>
      <c r="KJ191" s="21"/>
      <c r="KK191" s="21"/>
      <c r="KL191" s="21"/>
      <c r="KM191" s="21"/>
      <c r="KN191" s="21"/>
      <c r="KO191" s="21"/>
      <c r="KP191" s="21"/>
      <c r="KQ191" s="21"/>
      <c r="KR191" s="21"/>
      <c r="KS191" s="21"/>
      <c r="KT191" s="21"/>
      <c r="KU191" s="21"/>
      <c r="KV191" s="21"/>
      <c r="KW191" s="21"/>
      <c r="KX191" s="21"/>
      <c r="KY191" s="21"/>
      <c r="KZ191" s="21"/>
      <c r="LA191" s="168">
        <v>79500000</v>
      </c>
      <c r="LB191" s="168">
        <v>7800000</v>
      </c>
      <c r="LC191" s="21"/>
      <c r="LD191" s="21"/>
      <c r="LE191" s="21"/>
      <c r="LF191" s="21"/>
      <c r="LG191" s="21"/>
      <c r="LH191" s="21"/>
      <c r="LI191" s="21"/>
      <c r="LJ191" s="21"/>
      <c r="LK191" s="168">
        <v>503600000</v>
      </c>
      <c r="LL191" s="168">
        <v>499100000</v>
      </c>
      <c r="LM191" s="21"/>
      <c r="LN191" s="21"/>
      <c r="LO191" s="21"/>
      <c r="LP191" s="21"/>
      <c r="LQ191" s="21"/>
      <c r="LR191" s="21"/>
      <c r="LS191" s="21"/>
      <c r="LT191" s="21"/>
      <c r="LU191" s="168">
        <v>26800000</v>
      </c>
      <c r="LV191" s="168">
        <v>27500000</v>
      </c>
      <c r="LW191" s="21"/>
      <c r="LX191" s="21"/>
      <c r="LY191" s="21"/>
      <c r="LZ191" s="21"/>
      <c r="MA191" s="21"/>
      <c r="MB191" s="21"/>
      <c r="MC191" s="21"/>
      <c r="MD191" s="21"/>
      <c r="ME191" s="21"/>
      <c r="MF191" s="21"/>
      <c r="MG191" s="168">
        <v>98900000</v>
      </c>
      <c r="MH191" s="168">
        <v>101000000</v>
      </c>
      <c r="MI191" s="168">
        <v>758600000</v>
      </c>
      <c r="MJ191" s="168">
        <v>695300000</v>
      </c>
      <c r="MK191" s="21"/>
      <c r="ML191" s="21"/>
      <c r="MM191" s="21"/>
      <c r="MN191" s="21"/>
      <c r="MO191" s="21"/>
      <c r="MP191" s="21"/>
      <c r="MQ191" s="21"/>
      <c r="MR191" s="21"/>
      <c r="MS191" s="21"/>
      <c r="MT191" s="21"/>
      <c r="MU191" s="21"/>
      <c r="MV191" s="21"/>
      <c r="MW191" s="21"/>
      <c r="MX191" s="21"/>
      <c r="MY191" s="21"/>
      <c r="MZ191" s="21"/>
      <c r="NA191" s="21"/>
      <c r="NB191" s="21"/>
      <c r="NC191" s="21"/>
      <c r="ND191" s="21"/>
      <c r="NE191" s="21"/>
      <c r="NF191" s="21"/>
      <c r="NG191" s="168">
        <v>1302500000</v>
      </c>
      <c r="NH191" s="168">
        <v>1111900000</v>
      </c>
      <c r="NI191" s="21"/>
      <c r="NJ191" s="21"/>
      <c r="NK191" s="21"/>
      <c r="NL191" s="21"/>
      <c r="NM191" s="168">
        <v>607900000</v>
      </c>
      <c r="NN191" s="168">
        <v>858900000</v>
      </c>
      <c r="NO191" s="168">
        <v>2441500000</v>
      </c>
      <c r="NP191" s="168">
        <v>2281500000</v>
      </c>
      <c r="NQ191" s="168" t="s">
        <v>1046</v>
      </c>
      <c r="NR191" s="168" t="s">
        <v>797</v>
      </c>
      <c r="NS191" s="168" t="s">
        <v>770</v>
      </c>
      <c r="NT191" s="168" t="s">
        <v>771</v>
      </c>
      <c r="NU191" s="168">
        <v>1601</v>
      </c>
      <c r="NV191" s="168" t="s">
        <v>2104</v>
      </c>
      <c r="NW191" s="168" t="s">
        <v>28</v>
      </c>
      <c r="NX191" s="168" t="s">
        <v>25</v>
      </c>
      <c r="NY191" s="169">
        <v>42825</v>
      </c>
      <c r="NZ191" s="169">
        <v>42460</v>
      </c>
      <c r="OA191" s="169">
        <v>42950</v>
      </c>
      <c r="OB191" s="168" t="s">
        <v>1483</v>
      </c>
      <c r="OC191" s="168">
        <v>12</v>
      </c>
      <c r="OD191" s="168" t="s">
        <v>2105</v>
      </c>
      <c r="OE191" s="168" t="s">
        <v>2263</v>
      </c>
      <c r="OF191" s="168" t="s">
        <v>2579</v>
      </c>
      <c r="OG191" s="168" t="s">
        <v>2045</v>
      </c>
      <c r="OH191" s="168" t="s">
        <v>924</v>
      </c>
      <c r="OI191" s="168" t="s">
        <v>766</v>
      </c>
      <c r="OJ191" s="168" t="s">
        <v>3240</v>
      </c>
      <c r="OK191" s="168" t="s">
        <v>796</v>
      </c>
    </row>
    <row r="192" spans="1:401" x14ac:dyDescent="0.2">
      <c r="A192" s="170" t="str">
        <f>Liste[[#This Row],[Siren]]</f>
        <v>503107500</v>
      </c>
      <c r="B192" s="198" t="str">
        <f>Liste[[#This Row],[Dénomination]]&amp;" - comptes "&amp;YEAR(Liste[[#This Row],[Date de cloture de l''exercice]])</f>
        <v>ASJ HOLDING - comptes 2017</v>
      </c>
      <c r="C192" s="21"/>
      <c r="D192" s="21"/>
      <c r="E192" s="21"/>
      <c r="F192" s="168">
        <v>1214580</v>
      </c>
      <c r="G192" s="168">
        <v>1331073</v>
      </c>
      <c r="H192" s="168">
        <v>1214580</v>
      </c>
      <c r="I192" s="168">
        <v>1318255</v>
      </c>
      <c r="J192" s="168">
        <v>602276</v>
      </c>
      <c r="K192" s="168">
        <v>683609</v>
      </c>
      <c r="L192" s="168">
        <v>1920531</v>
      </c>
      <c r="M192" s="21"/>
      <c r="N192" s="168">
        <v>44489</v>
      </c>
      <c r="O192" s="168">
        <v>44489</v>
      </c>
      <c r="P192" s="168">
        <v>44489</v>
      </c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168">
        <v>154623</v>
      </c>
      <c r="BA192" s="168">
        <v>159076</v>
      </c>
      <c r="BB192" s="168">
        <v>154623</v>
      </c>
      <c r="BC192" s="168">
        <v>1413</v>
      </c>
      <c r="BD192" s="168">
        <v>443100</v>
      </c>
      <c r="BE192" s="168">
        <v>257420</v>
      </c>
      <c r="BF192" s="168">
        <v>444513</v>
      </c>
      <c r="BG192" s="168">
        <v>229557</v>
      </c>
      <c r="BH192" s="168">
        <v>23161</v>
      </c>
      <c r="BI192" s="168">
        <v>24324</v>
      </c>
      <c r="BJ192" s="168">
        <v>252718</v>
      </c>
      <c r="BK192" s="168">
        <v>4011006</v>
      </c>
      <c r="BL192" s="168">
        <v>4129324</v>
      </c>
      <c r="BM192" s="168">
        <v>4496849</v>
      </c>
      <c r="BN192" s="168">
        <v>8140330</v>
      </c>
      <c r="BO192" s="21"/>
      <c r="BP192" s="21"/>
      <c r="BQ192" s="21"/>
      <c r="BR192" s="21"/>
      <c r="BS192" s="21"/>
      <c r="BT192" s="21"/>
      <c r="BU192" s="21"/>
      <c r="BV192" s="21"/>
      <c r="BW192" s="21"/>
      <c r="BX192" s="168">
        <v>1942007</v>
      </c>
      <c r="BY192" s="168">
        <v>1253220</v>
      </c>
      <c r="BZ192" s="168">
        <v>1942007</v>
      </c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168">
        <v>150000</v>
      </c>
      <c r="CR192" s="168">
        <v>150000</v>
      </c>
      <c r="CS192" s="168">
        <v>150000</v>
      </c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168">
        <v>1819161</v>
      </c>
      <c r="DG192" s="168">
        <v>357333</v>
      </c>
      <c r="DH192" s="168">
        <v>407760</v>
      </c>
      <c r="DI192" s="168">
        <v>2176494</v>
      </c>
      <c r="DJ192" s="168">
        <v>302511</v>
      </c>
      <c r="DK192" s="168">
        <v>4237759</v>
      </c>
      <c r="DL192" s="168">
        <v>4379561</v>
      </c>
      <c r="DM192" s="168">
        <v>4540270</v>
      </c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168">
        <v>7377979</v>
      </c>
      <c r="EL192" s="168">
        <v>6339499</v>
      </c>
      <c r="EM192" s="168">
        <v>6835147</v>
      </c>
      <c r="EN192" s="168">
        <v>13717478</v>
      </c>
      <c r="EO192" s="168">
        <v>303924</v>
      </c>
      <c r="EP192" s="168">
        <v>10404369</v>
      </c>
      <c r="EQ192" s="168">
        <v>9742350</v>
      </c>
      <c r="ER192" s="168">
        <v>10708293</v>
      </c>
      <c r="ES192" s="168">
        <v>9622294</v>
      </c>
      <c r="ET192" s="168">
        <v>19115459</v>
      </c>
      <c r="EU192" s="168">
        <v>19164687</v>
      </c>
      <c r="EV192" s="168">
        <v>28737753</v>
      </c>
      <c r="EW192" s="21"/>
      <c r="EX192" s="168">
        <v>546633</v>
      </c>
      <c r="EY192" s="168">
        <v>546633</v>
      </c>
      <c r="EZ192" s="168">
        <v>546633</v>
      </c>
      <c r="FA192" s="21"/>
      <c r="FB192" s="21"/>
      <c r="FC192" s="21"/>
      <c r="FD192" s="21"/>
      <c r="FE192" s="21"/>
      <c r="FF192" s="168">
        <v>2412300</v>
      </c>
      <c r="FG192" s="168">
        <v>2362000</v>
      </c>
      <c r="FH192" s="168">
        <v>2412300</v>
      </c>
      <c r="FI192" s="168">
        <v>602</v>
      </c>
      <c r="FJ192" s="168">
        <v>8857</v>
      </c>
      <c r="FK192" s="21"/>
      <c r="FL192" s="21"/>
      <c r="FM192" s="168">
        <v>6914</v>
      </c>
      <c r="FN192" s="168">
        <v>517</v>
      </c>
      <c r="FO192" s="168">
        <v>1</v>
      </c>
      <c r="FP192" s="168">
        <v>1920</v>
      </c>
      <c r="FQ192" s="168">
        <v>215599</v>
      </c>
      <c r="FR192" s="168">
        <v>215599</v>
      </c>
      <c r="FS192" s="21"/>
      <c r="FT192" s="21"/>
      <c r="FU192" s="168">
        <v>-50376</v>
      </c>
      <c r="FV192" s="168">
        <v>-34921</v>
      </c>
      <c r="FW192" s="168">
        <v>161474</v>
      </c>
      <c r="FX192" s="168">
        <v>175401</v>
      </c>
      <c r="FY192" s="168">
        <v>33716</v>
      </c>
      <c r="FZ192" s="168">
        <v>32180</v>
      </c>
      <c r="GA192" s="21"/>
      <c r="GB192" s="21"/>
      <c r="GC192" s="168">
        <v>7505</v>
      </c>
      <c r="GD192" s="168">
        <v>9374</v>
      </c>
      <c r="GE192" s="168">
        <v>12</v>
      </c>
      <c r="GF192" s="168">
        <v>1920</v>
      </c>
      <c r="GG192" s="21"/>
      <c r="GH192" s="21"/>
      <c r="GI192" s="21"/>
      <c r="GJ192" s="21"/>
      <c r="GK192" s="21"/>
      <c r="GL192" s="21"/>
      <c r="GM192" s="168">
        <v>836973</v>
      </c>
      <c r="GN192" s="168">
        <v>780139</v>
      </c>
      <c r="GO192" s="168">
        <v>1086288</v>
      </c>
      <c r="GP192" s="168">
        <v>1027918</v>
      </c>
      <c r="GQ192" s="21"/>
      <c r="GR192" s="21"/>
      <c r="GS192" s="21"/>
      <c r="GT192" s="21"/>
      <c r="GU192" s="168">
        <v>6915</v>
      </c>
      <c r="GV192" s="168">
        <v>2437</v>
      </c>
      <c r="GW192" s="168">
        <v>7517</v>
      </c>
      <c r="GX192" s="168">
        <v>11294</v>
      </c>
      <c r="GY192" s="168">
        <v>42654567</v>
      </c>
      <c r="GZ192" s="168">
        <v>41530510</v>
      </c>
      <c r="HA192" s="168">
        <v>128788</v>
      </c>
      <c r="HB192" s="168">
        <v>118180</v>
      </c>
      <c r="HC192" s="168">
        <v>3675445</v>
      </c>
      <c r="HD192" s="168">
        <v>3487475</v>
      </c>
      <c r="HE192" s="168">
        <v>16022</v>
      </c>
      <c r="HF192" s="168">
        <v>17196</v>
      </c>
      <c r="HG192" s="168">
        <v>60965</v>
      </c>
      <c r="HH192" s="168">
        <v>55357</v>
      </c>
      <c r="HI192" s="168">
        <v>170165</v>
      </c>
      <c r="HJ192" s="168">
        <v>184565</v>
      </c>
      <c r="HK192" s="168">
        <v>701</v>
      </c>
      <c r="HL192" s="21"/>
      <c r="HM192" s="21"/>
      <c r="HN192" s="21"/>
      <c r="HO192" s="168">
        <v>1404819</v>
      </c>
      <c r="HP192" s="168">
        <v>1361245</v>
      </c>
      <c r="HQ192" s="21"/>
      <c r="HR192" s="21"/>
      <c r="HS192" s="21"/>
      <c r="HT192" s="21"/>
      <c r="HU192" s="168">
        <v>638187</v>
      </c>
      <c r="HV192" s="168">
        <v>647349</v>
      </c>
      <c r="HW192" s="21"/>
      <c r="HX192" s="21"/>
      <c r="HY192" s="168">
        <v>18279</v>
      </c>
      <c r="HZ192" s="168">
        <v>54252</v>
      </c>
      <c r="IA192" s="168">
        <v>303924</v>
      </c>
      <c r="IB192" s="168">
        <v>394210</v>
      </c>
      <c r="IC192" s="21"/>
      <c r="ID192" s="21"/>
      <c r="IE192" s="168">
        <v>627871</v>
      </c>
      <c r="IF192" s="168">
        <v>592211</v>
      </c>
      <c r="IG192" s="168">
        <v>263265</v>
      </c>
      <c r="IH192" s="168">
        <v>284101</v>
      </c>
      <c r="II192" s="21"/>
      <c r="IJ192" s="21"/>
      <c r="IK192" s="21"/>
      <c r="IL192" s="21"/>
      <c r="IM192" s="21"/>
      <c r="IN192" s="21"/>
      <c r="IO192" s="168">
        <v>1460</v>
      </c>
      <c r="IP192" s="168">
        <v>671</v>
      </c>
      <c r="IQ192" s="21"/>
      <c r="IR192" s="168">
        <v>3556</v>
      </c>
      <c r="IS192" s="21"/>
      <c r="IT192" s="168">
        <v>2336</v>
      </c>
      <c r="IU192" s="168">
        <v>1196784</v>
      </c>
      <c r="IV192" s="168">
        <v>1159541</v>
      </c>
      <c r="IW192" s="168">
        <v>1396923</v>
      </c>
      <c r="IX192" s="168">
        <v>1381722</v>
      </c>
      <c r="IY192" s="168">
        <v>-200840</v>
      </c>
      <c r="IZ192" s="168">
        <v>-222181</v>
      </c>
      <c r="JA192" s="168">
        <v>434576</v>
      </c>
      <c r="JB192" s="168">
        <v>377028</v>
      </c>
      <c r="JC192" s="21"/>
      <c r="JD192" s="21"/>
      <c r="JE192" s="168">
        <v>4402532</v>
      </c>
      <c r="JF192" s="168">
        <v>4296881</v>
      </c>
      <c r="JG192" s="21"/>
      <c r="JH192" s="21"/>
      <c r="JI192" s="168">
        <v>54102063</v>
      </c>
      <c r="JJ192" s="168">
        <v>52162504</v>
      </c>
      <c r="JK192" s="168">
        <v>263265</v>
      </c>
      <c r="JL192" s="168">
        <v>284101</v>
      </c>
      <c r="JM192" s="168">
        <v>604741</v>
      </c>
      <c r="JN192" s="168">
        <v>561593</v>
      </c>
      <c r="JO192" s="168">
        <v>62425</v>
      </c>
      <c r="JP192" s="168">
        <v>61920</v>
      </c>
      <c r="JQ192" s="168">
        <v>231629</v>
      </c>
      <c r="JR192" s="168">
        <v>-337005</v>
      </c>
      <c r="JS192" s="21"/>
      <c r="JT192" s="21"/>
      <c r="JU192" s="21"/>
      <c r="JV192" s="21"/>
      <c r="JW192" s="168">
        <v>54894245</v>
      </c>
      <c r="JX192" s="168">
        <v>52982633</v>
      </c>
      <c r="JY192" s="21"/>
      <c r="JZ192" s="21"/>
      <c r="KA192" s="21"/>
      <c r="KB192" s="21"/>
      <c r="KC192" s="21"/>
      <c r="KD192" s="21"/>
      <c r="KE192" s="168">
        <v>609803</v>
      </c>
      <c r="KF192" s="168">
        <v>681645</v>
      </c>
      <c r="KG192" s="21"/>
      <c r="KH192" s="21"/>
      <c r="KI192" s="168">
        <v>54284442</v>
      </c>
      <c r="KJ192" s="168">
        <v>52300988</v>
      </c>
      <c r="KK192" s="21"/>
      <c r="KL192" s="21"/>
      <c r="KM192" s="21"/>
      <c r="KN192" s="21"/>
      <c r="KO192" s="21"/>
      <c r="KP192" s="21"/>
      <c r="KQ192" s="168">
        <v>434214</v>
      </c>
      <c r="KR192" s="168">
        <v>528825</v>
      </c>
      <c r="KS192" s="21"/>
      <c r="KT192" s="21"/>
      <c r="KU192" s="168">
        <v>5010894</v>
      </c>
      <c r="KV192" s="168">
        <v>4430755</v>
      </c>
      <c r="KW192" s="21"/>
      <c r="KX192" s="21"/>
      <c r="KY192" s="168">
        <v>147793</v>
      </c>
      <c r="KZ192" s="168">
        <v>131805</v>
      </c>
      <c r="LA192" s="168">
        <v>40000</v>
      </c>
      <c r="LB192" s="168">
        <v>40000</v>
      </c>
      <c r="LC192" s="21"/>
      <c r="LD192" s="21"/>
      <c r="LE192" s="168">
        <v>33716</v>
      </c>
      <c r="LF192" s="168">
        <v>32180</v>
      </c>
      <c r="LG192" s="21"/>
      <c r="LH192" s="21"/>
      <c r="LI192" s="168">
        <v>1919725</v>
      </c>
      <c r="LJ192" s="168">
        <v>1961326</v>
      </c>
      <c r="LK192" s="168">
        <v>4342920</v>
      </c>
      <c r="LL192" s="168">
        <v>3945642</v>
      </c>
      <c r="LM192" s="21"/>
      <c r="LN192" s="21"/>
      <c r="LO192" s="21"/>
      <c r="LP192" s="21"/>
      <c r="LQ192" s="21"/>
      <c r="LR192" s="21"/>
      <c r="LS192" s="21"/>
      <c r="LT192" s="21"/>
      <c r="LU192" s="21"/>
      <c r="LV192" s="21"/>
      <c r="LW192" s="21"/>
      <c r="LX192" s="21"/>
      <c r="LY192" s="21"/>
      <c r="LZ192" s="21"/>
      <c r="MA192" s="168">
        <v>4549049</v>
      </c>
      <c r="MB192" s="168">
        <v>5393931</v>
      </c>
      <c r="MC192" s="168">
        <v>981243</v>
      </c>
      <c r="MD192" s="168">
        <v>1077434</v>
      </c>
      <c r="ME192" s="21"/>
      <c r="MF192" s="21"/>
      <c r="MG192" s="168">
        <v>454606</v>
      </c>
      <c r="MH192" s="168">
        <v>504983</v>
      </c>
      <c r="MI192" s="21"/>
      <c r="MJ192" s="21"/>
      <c r="MK192" s="21"/>
      <c r="ML192" s="21"/>
      <c r="MM192" s="21"/>
      <c r="MN192" s="21"/>
      <c r="MO192" s="168">
        <v>181683</v>
      </c>
      <c r="MP192" s="168">
        <v>163404</v>
      </c>
      <c r="MQ192" s="168">
        <v>19690</v>
      </c>
      <c r="MR192" s="168">
        <v>19690</v>
      </c>
      <c r="MS192" s="21"/>
      <c r="MT192" s="21"/>
      <c r="MU192" s="21"/>
      <c r="MV192" s="21"/>
      <c r="MW192" s="168">
        <v>4000</v>
      </c>
      <c r="MX192" s="168">
        <v>4000</v>
      </c>
      <c r="MY192" s="21"/>
      <c r="MZ192" s="21"/>
      <c r="NA192" s="21"/>
      <c r="NB192" s="21"/>
      <c r="NC192" s="168">
        <v>836972</v>
      </c>
      <c r="ND192" s="168">
        <v>780139</v>
      </c>
      <c r="NE192" s="21"/>
      <c r="NF192" s="21"/>
      <c r="NG192" s="168">
        <v>5891866</v>
      </c>
      <c r="NH192" s="168">
        <v>5254894</v>
      </c>
      <c r="NI192" s="21"/>
      <c r="NJ192" s="21"/>
      <c r="NK192" s="168">
        <v>192670</v>
      </c>
      <c r="NL192" s="168">
        <v>182753</v>
      </c>
      <c r="NM192" s="168">
        <v>12374944</v>
      </c>
      <c r="NN192" s="168">
        <v>13038963</v>
      </c>
      <c r="NO192" s="168">
        <v>19115459</v>
      </c>
      <c r="NP192" s="168">
        <v>19164687</v>
      </c>
      <c r="NQ192" s="168" t="s">
        <v>986</v>
      </c>
      <c r="NR192" s="168" t="s">
        <v>769</v>
      </c>
      <c r="NS192" s="168" t="s">
        <v>770</v>
      </c>
      <c r="NT192" s="168" t="s">
        <v>771</v>
      </c>
      <c r="NU192" s="168">
        <v>1501</v>
      </c>
      <c r="NV192" s="168" t="s">
        <v>2104</v>
      </c>
      <c r="NW192" s="168" t="s">
        <v>28</v>
      </c>
      <c r="NX192" s="168" t="s">
        <v>25</v>
      </c>
      <c r="NY192" s="169">
        <v>42825</v>
      </c>
      <c r="NZ192" s="169">
        <v>42460</v>
      </c>
      <c r="OA192" s="169">
        <v>43007</v>
      </c>
      <c r="OB192" s="168" t="s">
        <v>1498</v>
      </c>
      <c r="OC192" s="168">
        <v>12</v>
      </c>
      <c r="OD192" s="168" t="s">
        <v>2105</v>
      </c>
      <c r="OE192" s="168" t="s">
        <v>1499</v>
      </c>
      <c r="OF192" s="168" t="s">
        <v>2592</v>
      </c>
      <c r="OG192" s="168" t="s">
        <v>2054</v>
      </c>
      <c r="OH192" s="168" t="s">
        <v>985</v>
      </c>
      <c r="OI192" s="168" t="s">
        <v>766</v>
      </c>
      <c r="OJ192" s="168" t="s">
        <v>3240</v>
      </c>
      <c r="OK192" s="168" t="s">
        <v>767</v>
      </c>
    </row>
    <row r="193" spans="1:401" x14ac:dyDescent="0.2">
      <c r="A193" s="170" t="str">
        <f>Liste[[#This Row],[Siren]]</f>
        <v>430190496</v>
      </c>
      <c r="B193" s="198" t="str">
        <f>Liste[[#This Row],[Dénomination]]&amp;" - comptes "&amp;YEAR(Liste[[#This Row],[Date de cloture de l''exercice]])</f>
        <v>ADEUNIS RF - comptes 2017</v>
      </c>
      <c r="C193" s="21"/>
      <c r="D193" s="21"/>
      <c r="E193" s="21"/>
      <c r="F193" s="168">
        <v>1000000</v>
      </c>
      <c r="G193" s="168">
        <v>835000</v>
      </c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168">
        <v>2125000</v>
      </c>
      <c r="BE193" s="168">
        <v>1725000</v>
      </c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168">
        <v>631000</v>
      </c>
      <c r="BY193" s="168">
        <v>808000</v>
      </c>
      <c r="BZ193" s="21"/>
      <c r="CA193" s="21"/>
      <c r="CB193" s="21"/>
      <c r="CC193" s="21"/>
      <c r="CD193" s="21"/>
      <c r="CE193" s="168">
        <v>374000</v>
      </c>
      <c r="CF193" s="168">
        <v>374000</v>
      </c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168">
        <v>1258000</v>
      </c>
      <c r="EM193" s="168">
        <v>999000</v>
      </c>
      <c r="EN193" s="21"/>
      <c r="EO193" s="21"/>
      <c r="EP193" s="168">
        <v>5558000</v>
      </c>
      <c r="EQ193" s="168">
        <v>5306000</v>
      </c>
      <c r="ER193" s="21"/>
      <c r="ES193" s="21"/>
      <c r="ET193" s="168">
        <v>6816000</v>
      </c>
      <c r="EU193" s="168">
        <v>6305000</v>
      </c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  <c r="FH193" s="21"/>
      <c r="FI193" s="21"/>
      <c r="FJ193" s="21"/>
      <c r="FK193" s="21"/>
      <c r="FL193" s="21"/>
      <c r="FM193" s="21"/>
      <c r="FN193" s="21"/>
      <c r="FO193" s="21"/>
      <c r="FP193" s="21"/>
      <c r="FQ193" s="21"/>
      <c r="FR193" s="21"/>
      <c r="FS193" s="21"/>
      <c r="FT193" s="21"/>
      <c r="FU193" s="21"/>
      <c r="FV193" s="21"/>
      <c r="FW193" s="21"/>
      <c r="FX193" s="21"/>
      <c r="FY193" s="21"/>
      <c r="FZ193" s="21"/>
      <c r="GA193" s="21"/>
      <c r="GB193" s="21"/>
      <c r="GC193" s="21"/>
      <c r="GD193" s="21"/>
      <c r="GE193" s="21"/>
      <c r="GF193" s="21"/>
      <c r="GG193" s="21"/>
      <c r="GH193" s="21"/>
      <c r="GI193" s="21"/>
      <c r="GJ193" s="21"/>
      <c r="GK193" s="21"/>
      <c r="GL193" s="21"/>
      <c r="GM193" s="168">
        <v>-1084000</v>
      </c>
      <c r="GN193" s="168">
        <v>-1208000</v>
      </c>
      <c r="GO193" s="168">
        <v>-1084000</v>
      </c>
      <c r="GP193" s="168">
        <v>-1208000</v>
      </c>
      <c r="GQ193" s="21"/>
      <c r="GR193" s="21"/>
      <c r="GS193" s="168">
        <v>-1084000</v>
      </c>
      <c r="GT193" s="168">
        <v>-1208000</v>
      </c>
      <c r="GU193" s="21"/>
      <c r="GV193" s="21"/>
      <c r="GW193" s="21"/>
      <c r="GX193" s="21"/>
      <c r="GY193" s="21"/>
      <c r="GZ193" s="21"/>
      <c r="HA193" s="21"/>
      <c r="HB193" s="21"/>
      <c r="HC193" s="168">
        <v>-5573000</v>
      </c>
      <c r="HD193" s="168">
        <v>-4922000</v>
      </c>
      <c r="HE193" s="168">
        <v>-7000</v>
      </c>
      <c r="HF193" s="168">
        <v>-65000</v>
      </c>
      <c r="HG193" s="21"/>
      <c r="HH193" s="21"/>
      <c r="HI193" s="21"/>
      <c r="HJ193" s="21"/>
      <c r="HK193" s="21"/>
      <c r="HL193" s="21"/>
      <c r="HM193" s="21"/>
      <c r="HN193" s="21"/>
      <c r="HO193" s="21"/>
      <c r="HP193" s="21"/>
      <c r="HQ193" s="21"/>
      <c r="HR193" s="21"/>
      <c r="HS193" s="21"/>
      <c r="HT193" s="21"/>
      <c r="HU193" s="21"/>
      <c r="HV193" s="21"/>
      <c r="HW193" s="21"/>
      <c r="HX193" s="21"/>
      <c r="HY193" s="21"/>
      <c r="HZ193" s="21"/>
      <c r="IA193" s="21"/>
      <c r="IB193" s="21"/>
      <c r="IC193" s="21"/>
      <c r="ID193" s="21"/>
      <c r="IE193" s="168">
        <v>-120000</v>
      </c>
      <c r="IF193" s="168">
        <v>-115000</v>
      </c>
      <c r="IG193" s="21"/>
      <c r="IH193" s="21"/>
      <c r="II193" s="21"/>
      <c r="IJ193" s="21"/>
      <c r="IK193" s="21"/>
      <c r="IL193" s="21"/>
      <c r="IM193" s="21"/>
      <c r="IN193" s="21"/>
      <c r="IO193" s="21"/>
      <c r="IP193" s="21"/>
      <c r="IQ193" s="21"/>
      <c r="IR193" s="21"/>
      <c r="IS193" s="21"/>
      <c r="IT193" s="21"/>
      <c r="IU193" s="168">
        <v>-988000</v>
      </c>
      <c r="IV193" s="168">
        <v>-873000</v>
      </c>
      <c r="IW193" s="168">
        <v>-1005</v>
      </c>
      <c r="IX193" s="168">
        <v>-415</v>
      </c>
      <c r="IY193" s="21"/>
      <c r="IZ193" s="21"/>
      <c r="JA193" s="21"/>
      <c r="JB193" s="21"/>
      <c r="JC193" s="21"/>
      <c r="JD193" s="21"/>
      <c r="JE193" s="21"/>
      <c r="JF193" s="21"/>
      <c r="JG193" s="21"/>
      <c r="JH193" s="21"/>
      <c r="JI193" s="21"/>
      <c r="JJ193" s="21"/>
      <c r="JK193" s="21"/>
      <c r="JL193" s="21"/>
      <c r="JM193" s="21"/>
      <c r="JN193" s="21"/>
      <c r="JO193" s="21"/>
      <c r="JP193" s="21"/>
      <c r="JQ193" s="21"/>
      <c r="JR193" s="21"/>
      <c r="JS193" s="21"/>
      <c r="JT193" s="21"/>
      <c r="JU193" s="21"/>
      <c r="JV193" s="21"/>
      <c r="JW193" s="168">
        <v>9321000</v>
      </c>
      <c r="JX193" s="168">
        <v>9105000</v>
      </c>
      <c r="JY193" s="21"/>
      <c r="JZ193" s="21"/>
      <c r="KA193" s="21"/>
      <c r="KB193" s="21"/>
      <c r="KC193" s="21"/>
      <c r="KD193" s="21"/>
      <c r="KE193" s="21"/>
      <c r="KF193" s="21"/>
      <c r="KG193" s="21"/>
      <c r="KH193" s="21"/>
      <c r="KI193" s="21"/>
      <c r="KJ193" s="21"/>
      <c r="KK193" s="21"/>
      <c r="KL193" s="21"/>
      <c r="KM193" s="21"/>
      <c r="KN193" s="21"/>
      <c r="KO193" s="21"/>
      <c r="KP193" s="21"/>
      <c r="KQ193" s="21"/>
      <c r="KR193" s="21"/>
      <c r="KS193" s="21"/>
      <c r="KT193" s="21"/>
      <c r="KU193" s="21"/>
      <c r="KV193" s="21"/>
      <c r="KW193" s="21"/>
      <c r="KX193" s="21"/>
      <c r="KY193" s="21"/>
      <c r="KZ193" s="21"/>
      <c r="LA193" s="168">
        <v>5449000</v>
      </c>
      <c r="LB193" s="168">
        <v>503000</v>
      </c>
      <c r="LC193" s="21"/>
      <c r="LD193" s="21"/>
      <c r="LE193" s="21"/>
      <c r="LF193" s="21"/>
      <c r="LG193" s="21"/>
      <c r="LH193" s="21"/>
      <c r="LI193" s="21"/>
      <c r="LJ193" s="21"/>
      <c r="LK193" s="168">
        <v>1659000</v>
      </c>
      <c r="LL193" s="168">
        <v>1790000</v>
      </c>
      <c r="LM193" s="21"/>
      <c r="LN193" s="21"/>
      <c r="LO193" s="21"/>
      <c r="LP193" s="21"/>
      <c r="LQ193" s="21"/>
      <c r="LR193" s="21"/>
      <c r="LS193" s="21"/>
      <c r="LT193" s="21"/>
      <c r="LU193" s="168">
        <v>-50000</v>
      </c>
      <c r="LV193" s="168">
        <v>-49000</v>
      </c>
      <c r="LW193" s="21"/>
      <c r="LX193" s="21"/>
      <c r="LY193" s="21"/>
      <c r="LZ193" s="21"/>
      <c r="MA193" s="21"/>
      <c r="MB193" s="21"/>
      <c r="MC193" s="168">
        <v>1441000</v>
      </c>
      <c r="MD193" s="168">
        <v>1777000</v>
      </c>
      <c r="ME193" s="168">
        <v>155000</v>
      </c>
      <c r="MF193" s="168">
        <v>3600000</v>
      </c>
      <c r="MG193" s="21"/>
      <c r="MH193" s="21"/>
      <c r="MI193" s="168">
        <v>264000</v>
      </c>
      <c r="MJ193" s="168">
        <v>69000</v>
      </c>
      <c r="MK193" s="21"/>
      <c r="ML193" s="21"/>
      <c r="MM193" s="21"/>
      <c r="MN193" s="21"/>
      <c r="MO193" s="21"/>
      <c r="MP193" s="21"/>
      <c r="MQ193" s="21"/>
      <c r="MR193" s="21"/>
      <c r="MS193" s="21"/>
      <c r="MT193" s="21"/>
      <c r="MU193" s="21"/>
      <c r="MV193" s="21"/>
      <c r="MW193" s="21"/>
      <c r="MX193" s="21"/>
      <c r="MY193" s="21"/>
      <c r="MZ193" s="21"/>
      <c r="NA193" s="21"/>
      <c r="NB193" s="21"/>
      <c r="NC193" s="168">
        <v>-1084000</v>
      </c>
      <c r="ND193" s="168">
        <v>-1208000</v>
      </c>
      <c r="NE193" s="21"/>
      <c r="NF193" s="21"/>
      <c r="NG193" s="168">
        <v>1651000</v>
      </c>
      <c r="NH193" s="168">
        <v>-2521000</v>
      </c>
      <c r="NI193" s="21"/>
      <c r="NJ193" s="21"/>
      <c r="NK193" s="21"/>
      <c r="NL193" s="21"/>
      <c r="NM193" s="168">
        <v>4794000</v>
      </c>
      <c r="NN193" s="168">
        <v>8352000</v>
      </c>
      <c r="NO193" s="168">
        <v>6816000</v>
      </c>
      <c r="NP193" s="168">
        <v>6305000</v>
      </c>
      <c r="NQ193" s="168" t="s">
        <v>1339</v>
      </c>
      <c r="NR193" s="168" t="s">
        <v>948</v>
      </c>
      <c r="NS193" s="168" t="s">
        <v>770</v>
      </c>
      <c r="NT193" s="168" t="s">
        <v>771</v>
      </c>
      <c r="NU193" s="168">
        <v>3801</v>
      </c>
      <c r="NV193" s="168" t="s">
        <v>2104</v>
      </c>
      <c r="NW193" s="168" t="s">
        <v>28</v>
      </c>
      <c r="NX193" s="168" t="s">
        <v>25</v>
      </c>
      <c r="NY193" s="169">
        <v>42825</v>
      </c>
      <c r="NZ193" s="169">
        <v>42460</v>
      </c>
      <c r="OA193" s="169">
        <v>42993</v>
      </c>
      <c r="OB193" s="168" t="s">
        <v>1500</v>
      </c>
      <c r="OC193" s="168">
        <v>12</v>
      </c>
      <c r="OD193" s="168" t="s">
        <v>2105</v>
      </c>
      <c r="OE193" s="168" t="s">
        <v>1501</v>
      </c>
      <c r="OF193" s="168" t="s">
        <v>2593</v>
      </c>
      <c r="OG193" s="168" t="s">
        <v>2055</v>
      </c>
      <c r="OH193" s="168" t="s">
        <v>833</v>
      </c>
      <c r="OI193" s="168" t="s">
        <v>766</v>
      </c>
      <c r="OJ193" s="168" t="s">
        <v>3240</v>
      </c>
      <c r="OK193" s="168" t="s">
        <v>947</v>
      </c>
    </row>
    <row r="194" spans="1:401" x14ac:dyDescent="0.2">
      <c r="A194" s="170" t="str">
        <f>Liste[[#This Row],[Siren]]</f>
        <v>317272540</v>
      </c>
      <c r="B194" s="198" t="str">
        <f>Liste[[#This Row],[Dénomination]]&amp;" - comptes "&amp;YEAR(Liste[[#This Row],[Date de cloture de l''exercice]])</f>
        <v>NEXO - comptes 2017</v>
      </c>
      <c r="C194" s="21"/>
      <c r="D194" s="21"/>
      <c r="E194" s="21"/>
      <c r="F194" s="168">
        <v>1142951</v>
      </c>
      <c r="G194" s="21"/>
      <c r="H194" s="168">
        <v>1142951</v>
      </c>
      <c r="I194" s="21"/>
      <c r="J194" s="168">
        <v>698771</v>
      </c>
      <c r="K194" s="21"/>
      <c r="L194" s="168">
        <v>698771</v>
      </c>
      <c r="M194" s="21"/>
      <c r="N194" s="168">
        <v>12483</v>
      </c>
      <c r="O194" s="21"/>
      <c r="P194" s="168">
        <v>12483</v>
      </c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168">
        <v>9900</v>
      </c>
      <c r="AE194" s="21"/>
      <c r="AF194" s="168">
        <v>9900</v>
      </c>
      <c r="AG194" s="21"/>
      <c r="AH194" s="21"/>
      <c r="AI194" s="21"/>
      <c r="AJ194" s="21"/>
      <c r="AK194" s="21"/>
      <c r="AL194" s="168">
        <v>38763</v>
      </c>
      <c r="AM194" s="21"/>
      <c r="AN194" s="168">
        <v>38763</v>
      </c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168">
        <v>765526</v>
      </c>
      <c r="BA194" s="21"/>
      <c r="BB194" s="168">
        <v>765526</v>
      </c>
      <c r="BC194" s="21"/>
      <c r="BD194" s="168">
        <v>5497678</v>
      </c>
      <c r="BE194" s="21"/>
      <c r="BF194" s="168">
        <v>5497678</v>
      </c>
      <c r="BG194" s="21"/>
      <c r="BH194" s="168">
        <v>137761</v>
      </c>
      <c r="BI194" s="21"/>
      <c r="BJ194" s="168">
        <v>137761</v>
      </c>
      <c r="BK194" s="21"/>
      <c r="BL194" s="168">
        <v>2697527</v>
      </c>
      <c r="BM194" s="21"/>
      <c r="BN194" s="168">
        <v>2697527</v>
      </c>
      <c r="BO194" s="21"/>
      <c r="BP194" s="21"/>
      <c r="BQ194" s="21"/>
      <c r="BR194" s="21"/>
      <c r="BS194" s="21"/>
      <c r="BT194" s="21"/>
      <c r="BU194" s="21"/>
      <c r="BV194" s="21"/>
      <c r="BW194" s="21"/>
      <c r="BX194" s="168">
        <v>7201434</v>
      </c>
      <c r="BY194" s="21"/>
      <c r="BZ194" s="168">
        <v>7201434</v>
      </c>
      <c r="CA194" s="168">
        <v>-2</v>
      </c>
      <c r="CB194" s="21"/>
      <c r="CC194" s="168">
        <v>-2</v>
      </c>
      <c r="CD194" s="21"/>
      <c r="CE194" s="21"/>
      <c r="CF194" s="21"/>
      <c r="CG194" s="21"/>
      <c r="CH194" s="21"/>
      <c r="CI194" s="168">
        <v>160326</v>
      </c>
      <c r="CJ194" s="21"/>
      <c r="CK194" s="168">
        <v>160326</v>
      </c>
      <c r="CL194" s="21"/>
      <c r="CM194" s="21"/>
      <c r="CN194" s="21"/>
      <c r="CO194" s="21"/>
      <c r="CP194" s="21"/>
      <c r="CQ194" s="168">
        <v>26216</v>
      </c>
      <c r="CR194" s="21"/>
      <c r="CS194" s="168">
        <v>26216</v>
      </c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168">
        <v>2028382</v>
      </c>
      <c r="DH194" s="21"/>
      <c r="DI194" s="168">
        <v>2028382</v>
      </c>
      <c r="DJ194" s="21"/>
      <c r="DK194" s="168">
        <v>1949260</v>
      </c>
      <c r="DL194" s="21"/>
      <c r="DM194" s="168">
        <v>1949260</v>
      </c>
      <c r="DN194" s="21"/>
      <c r="DO194" s="168">
        <v>2130534</v>
      </c>
      <c r="DP194" s="21"/>
      <c r="DQ194" s="168">
        <v>2130534</v>
      </c>
      <c r="DR194" s="21"/>
      <c r="DS194" s="21"/>
      <c r="DT194" s="21"/>
      <c r="DU194" s="21"/>
      <c r="DV194" s="21"/>
      <c r="DW194" s="168">
        <v>10069</v>
      </c>
      <c r="DX194" s="21"/>
      <c r="DY194" s="168">
        <v>10069</v>
      </c>
      <c r="DZ194" s="21"/>
      <c r="EA194" s="21"/>
      <c r="EB194" s="21"/>
      <c r="EC194" s="21"/>
      <c r="ED194" s="168">
        <v>1281782</v>
      </c>
      <c r="EE194" s="21"/>
      <c r="EF194" s="168">
        <v>1281782</v>
      </c>
      <c r="EG194" s="21"/>
      <c r="EH194" s="21"/>
      <c r="EI194" s="21"/>
      <c r="EJ194" s="21"/>
      <c r="EK194" s="21"/>
      <c r="EL194" s="168">
        <v>6922634</v>
      </c>
      <c r="EM194" s="21"/>
      <c r="EN194" s="168">
        <v>6922634</v>
      </c>
      <c r="EO194" s="21"/>
      <c r="EP194" s="168">
        <v>20168254</v>
      </c>
      <c r="EQ194" s="21"/>
      <c r="ER194" s="168">
        <v>20168254</v>
      </c>
      <c r="ES194" s="21"/>
      <c r="ET194" s="168">
        <v>27090886</v>
      </c>
      <c r="EU194" s="21"/>
      <c r="EV194" s="168">
        <v>27090886</v>
      </c>
      <c r="EW194" s="21"/>
      <c r="EX194" s="168">
        <v>1301525</v>
      </c>
      <c r="EY194" s="21"/>
      <c r="EZ194" s="168">
        <v>1301525</v>
      </c>
      <c r="FA194" s="21"/>
      <c r="FB194" s="21"/>
      <c r="FC194" s="21"/>
      <c r="FD194" s="21"/>
      <c r="FE194" s="21"/>
      <c r="FF194" s="21"/>
      <c r="FG194" s="21"/>
      <c r="FH194" s="21"/>
      <c r="FI194" s="168">
        <v>-1210931</v>
      </c>
      <c r="FJ194" s="21"/>
      <c r="FK194" s="168">
        <v>-735951</v>
      </c>
      <c r="FL194" s="21"/>
      <c r="FM194" s="21"/>
      <c r="FN194" s="21"/>
      <c r="FO194" s="168">
        <v>22521</v>
      </c>
      <c r="FP194" s="21"/>
      <c r="FQ194" s="21"/>
      <c r="FR194" s="21"/>
      <c r="FS194" s="168">
        <v>1201954</v>
      </c>
      <c r="FT194" s="21"/>
      <c r="FU194" s="168">
        <v>106868</v>
      </c>
      <c r="FV194" s="21"/>
      <c r="FW194" s="168">
        <v>340559</v>
      </c>
      <c r="FX194" s="21"/>
      <c r="FY194" s="21"/>
      <c r="FZ194" s="21"/>
      <c r="GA194" s="21"/>
      <c r="GB194" s="21"/>
      <c r="GC194" s="21"/>
      <c r="GD194" s="21"/>
      <c r="GE194" s="168">
        <v>13544</v>
      </c>
      <c r="GF194" s="21"/>
      <c r="GG194" s="21"/>
      <c r="GH194" s="21"/>
      <c r="GI194" s="21"/>
      <c r="GJ194" s="21"/>
      <c r="GK194" s="21"/>
      <c r="GL194" s="21"/>
      <c r="GM194" s="168">
        <v>-735951</v>
      </c>
      <c r="GN194" s="21"/>
      <c r="GO194" s="21"/>
      <c r="GP194" s="21"/>
      <c r="GQ194" s="21"/>
      <c r="GR194" s="21"/>
      <c r="GS194" s="168">
        <v>-735951</v>
      </c>
      <c r="GT194" s="21"/>
      <c r="GU194" s="168">
        <v>1224475</v>
      </c>
      <c r="GV194" s="21"/>
      <c r="GW194" s="168">
        <v>13544</v>
      </c>
      <c r="GX194" s="21"/>
      <c r="GY194" s="168">
        <v>3667488</v>
      </c>
      <c r="GZ194" s="21"/>
      <c r="HA194" s="168">
        <v>5226641</v>
      </c>
      <c r="HB194" s="21"/>
      <c r="HC194" s="168">
        <v>5243859</v>
      </c>
      <c r="HD194" s="21"/>
      <c r="HE194" s="168">
        <v>161936</v>
      </c>
      <c r="HF194" s="21"/>
      <c r="HG194" s="168">
        <v>11316</v>
      </c>
      <c r="HH194" s="21"/>
      <c r="HI194" s="168">
        <v>47983</v>
      </c>
      <c r="HJ194" s="21"/>
      <c r="HK194" s="21"/>
      <c r="HL194" s="21"/>
      <c r="HM194" s="21"/>
      <c r="HN194" s="21"/>
      <c r="HO194" s="168">
        <v>1811701</v>
      </c>
      <c r="HP194" s="21"/>
      <c r="HQ194" s="168">
        <v>134293</v>
      </c>
      <c r="HR194" s="21"/>
      <c r="HS194" s="168">
        <v>197554</v>
      </c>
      <c r="HT194" s="21"/>
      <c r="HU194" s="168">
        <v>1186389</v>
      </c>
      <c r="HV194" s="21"/>
      <c r="HW194" s="21"/>
      <c r="HX194" s="21"/>
      <c r="HY194" s="168">
        <v>229729</v>
      </c>
      <c r="HZ194" s="21"/>
      <c r="IA194" s="168">
        <v>129019</v>
      </c>
      <c r="IB194" s="21"/>
      <c r="IC194" s="21"/>
      <c r="ID194" s="21"/>
      <c r="IE194" s="168">
        <v>579181</v>
      </c>
      <c r="IF194" s="21"/>
      <c r="IG194" s="168">
        <v>54213</v>
      </c>
      <c r="IH194" s="21"/>
      <c r="II194" s="21"/>
      <c r="IJ194" s="21"/>
      <c r="IK194" s="21"/>
      <c r="IL194" s="21"/>
      <c r="IM194" s="168">
        <v>-141865</v>
      </c>
      <c r="IN194" s="21"/>
      <c r="IO194" s="21"/>
      <c r="IP194" s="21"/>
      <c r="IQ194" s="21"/>
      <c r="IR194" s="21"/>
      <c r="IS194" s="21"/>
      <c r="IT194" s="21"/>
      <c r="IU194" s="168">
        <v>922407</v>
      </c>
      <c r="IV194" s="21"/>
      <c r="IW194" s="168">
        <v>902043</v>
      </c>
      <c r="IX194" s="21"/>
      <c r="IY194" s="168">
        <v>20364</v>
      </c>
      <c r="IZ194" s="21"/>
      <c r="JA194" s="168">
        <v>288433</v>
      </c>
      <c r="JB194" s="21"/>
      <c r="JC194" s="21"/>
      <c r="JD194" s="21"/>
      <c r="JE194" s="168">
        <v>4684739</v>
      </c>
      <c r="JF194" s="21"/>
      <c r="JG194" s="168">
        <v>24392</v>
      </c>
      <c r="JH194" s="21"/>
      <c r="JI194" s="168">
        <v>23842423</v>
      </c>
      <c r="JJ194" s="21"/>
      <c r="JK194" s="168">
        <v>188506</v>
      </c>
      <c r="JL194" s="21"/>
      <c r="JM194" s="168">
        <v>24744466</v>
      </c>
      <c r="JN194" s="21"/>
      <c r="JO194" s="168">
        <v>208870</v>
      </c>
      <c r="JP194" s="21"/>
      <c r="JQ194" s="168">
        <v>1025734</v>
      </c>
      <c r="JR194" s="21"/>
      <c r="JS194" s="168">
        <v>-103993</v>
      </c>
      <c r="JT194" s="21"/>
      <c r="JU194" s="168">
        <v>22195792</v>
      </c>
      <c r="JV194" s="168">
        <v>2329731</v>
      </c>
      <c r="JW194" s="168">
        <v>24525523</v>
      </c>
      <c r="JX194" s="21"/>
      <c r="JY194" s="168">
        <v>13895136</v>
      </c>
      <c r="JZ194" s="168">
        <v>1419214</v>
      </c>
      <c r="KA194" s="168">
        <v>15314350</v>
      </c>
      <c r="KB194" s="21"/>
      <c r="KC194" s="168">
        <v>141856</v>
      </c>
      <c r="KD194" s="168">
        <v>82481</v>
      </c>
      <c r="KE194" s="168">
        <v>224337</v>
      </c>
      <c r="KF194" s="21"/>
      <c r="KG194" s="168">
        <v>8158800</v>
      </c>
      <c r="KH194" s="168">
        <v>828036</v>
      </c>
      <c r="KI194" s="168">
        <v>8986836</v>
      </c>
      <c r="KJ194" s="21"/>
      <c r="KK194" s="168">
        <v>4</v>
      </c>
      <c r="KL194" s="21"/>
      <c r="KM194" s="21"/>
      <c r="KN194" s="21"/>
      <c r="KO194" s="21"/>
      <c r="KP194" s="21"/>
      <c r="KQ194" s="168">
        <v>14196</v>
      </c>
      <c r="KR194" s="21"/>
      <c r="KS194" s="21"/>
      <c r="KT194" s="21"/>
      <c r="KU194" s="168">
        <v>16288847</v>
      </c>
      <c r="KV194" s="21"/>
      <c r="KW194" s="21"/>
      <c r="KX194" s="21"/>
      <c r="KY194" s="168">
        <v>256481</v>
      </c>
      <c r="KZ194" s="21"/>
      <c r="LA194" s="168">
        <v>1063569</v>
      </c>
      <c r="LB194" s="21"/>
      <c r="LC194" s="21"/>
      <c r="LD194" s="21"/>
      <c r="LE194" s="21"/>
      <c r="LF194" s="21"/>
      <c r="LG194" s="21"/>
      <c r="LH194" s="21"/>
      <c r="LI194" s="168">
        <v>1718514</v>
      </c>
      <c r="LJ194" s="21"/>
      <c r="LK194" s="168">
        <v>2661031</v>
      </c>
      <c r="LL194" s="21"/>
      <c r="LM194" s="21"/>
      <c r="LN194" s="21"/>
      <c r="LO194" s="21"/>
      <c r="LP194" s="21"/>
      <c r="LQ194" s="21"/>
      <c r="LR194" s="21"/>
      <c r="LS194" s="21"/>
      <c r="LT194" s="21"/>
      <c r="LU194" s="21"/>
      <c r="LV194" s="21"/>
      <c r="LW194" s="21"/>
      <c r="LX194" s="21"/>
      <c r="LY194" s="21"/>
      <c r="LZ194" s="21"/>
      <c r="MA194" s="21"/>
      <c r="MB194" s="21"/>
      <c r="MC194" s="21"/>
      <c r="MD194" s="21"/>
      <c r="ME194" s="21"/>
      <c r="MF194" s="21"/>
      <c r="MG194" s="21"/>
      <c r="MH194" s="21"/>
      <c r="MI194" s="168">
        <v>555340</v>
      </c>
      <c r="MJ194" s="21"/>
      <c r="MK194" s="21"/>
      <c r="ML194" s="21"/>
      <c r="MM194" s="168">
        <v>94927</v>
      </c>
      <c r="MN194" s="21"/>
      <c r="MO194" s="168">
        <v>1914694</v>
      </c>
      <c r="MP194" s="21"/>
      <c r="MQ194" s="168">
        <v>93618</v>
      </c>
      <c r="MR194" s="21"/>
      <c r="MS194" s="21"/>
      <c r="MT194" s="21"/>
      <c r="MU194" s="168">
        <v>3050598</v>
      </c>
      <c r="MV194" s="21"/>
      <c r="MW194" s="168">
        <v>106435</v>
      </c>
      <c r="MX194" s="21"/>
      <c r="MY194" s="21"/>
      <c r="MZ194" s="21"/>
      <c r="NA194" s="21"/>
      <c r="NB194" s="21"/>
      <c r="NC194" s="168">
        <v>-735951</v>
      </c>
      <c r="ND194" s="21"/>
      <c r="NE194" s="168">
        <v>8583</v>
      </c>
      <c r="NF194" s="21"/>
      <c r="NG194" s="168">
        <v>20337421</v>
      </c>
      <c r="NH194" s="21"/>
      <c r="NI194" s="21"/>
      <c r="NJ194" s="21"/>
      <c r="NK194" s="21"/>
      <c r="NL194" s="21"/>
      <c r="NM194" s="168">
        <v>4745149</v>
      </c>
      <c r="NN194" s="21"/>
      <c r="NO194" s="168">
        <v>27090886</v>
      </c>
      <c r="NP194" s="21"/>
      <c r="NQ194" s="168" t="s">
        <v>1342</v>
      </c>
      <c r="NR194" s="168" t="s">
        <v>1343</v>
      </c>
      <c r="NS194" s="168" t="s">
        <v>770</v>
      </c>
      <c r="NT194" s="168" t="s">
        <v>771</v>
      </c>
      <c r="NU194" s="168">
        <v>6002</v>
      </c>
      <c r="NV194" s="168" t="s">
        <v>2104</v>
      </c>
      <c r="NW194" s="168" t="s">
        <v>28</v>
      </c>
      <c r="NX194" s="168" t="s">
        <v>25</v>
      </c>
      <c r="NY194" s="169">
        <v>42825</v>
      </c>
      <c r="NZ194" s="169">
        <v>42460</v>
      </c>
      <c r="OA194" s="169">
        <v>42906</v>
      </c>
      <c r="OB194" s="168" t="s">
        <v>1344</v>
      </c>
      <c r="OC194" s="168">
        <v>12</v>
      </c>
      <c r="OD194" s="168" t="s">
        <v>2105</v>
      </c>
      <c r="OE194" s="168" t="s">
        <v>2387</v>
      </c>
      <c r="OF194" s="168" t="s">
        <v>2476</v>
      </c>
      <c r="OG194" s="168" t="s">
        <v>1977</v>
      </c>
      <c r="OH194" s="168" t="s">
        <v>996</v>
      </c>
      <c r="OI194" s="168" t="s">
        <v>766</v>
      </c>
      <c r="OJ194" s="168" t="s">
        <v>3240</v>
      </c>
      <c r="OK194" s="168" t="s">
        <v>1341</v>
      </c>
    </row>
    <row r="195" spans="1:401" x14ac:dyDescent="0.2">
      <c r="A195" s="170" t="str">
        <f>Liste[[#This Row],[Siren]]</f>
        <v>322828260</v>
      </c>
      <c r="B195" s="198" t="str">
        <f>Liste[[#This Row],[Dénomination]]&amp;" - comptes "&amp;YEAR(Liste[[#This Row],[Date de cloture de l''exercice]])</f>
        <v>OENEO - comptes 2017</v>
      </c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168">
        <v>64834000</v>
      </c>
      <c r="BE195" s="168">
        <v>61555000</v>
      </c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168">
        <v>46069000</v>
      </c>
      <c r="CF195" s="168">
        <v>46018000</v>
      </c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168">
        <v>171263000</v>
      </c>
      <c r="EM195" s="168">
        <v>172213000</v>
      </c>
      <c r="EN195" s="21"/>
      <c r="EO195" s="21"/>
      <c r="EP195" s="168">
        <v>249823000</v>
      </c>
      <c r="EQ195" s="168">
        <v>224303000</v>
      </c>
      <c r="ER195" s="21"/>
      <c r="ES195" s="21"/>
      <c r="ET195" s="168">
        <v>421086000</v>
      </c>
      <c r="EU195" s="168">
        <v>397754000</v>
      </c>
      <c r="EV195" s="21"/>
      <c r="EW195" s="21"/>
      <c r="EX195" s="21"/>
      <c r="EY195" s="21"/>
      <c r="EZ195" s="21"/>
      <c r="FA195" s="21"/>
      <c r="FB195" s="21"/>
      <c r="FC195" s="21"/>
      <c r="FD195" s="21"/>
      <c r="FE195" s="21"/>
      <c r="FF195" s="21"/>
      <c r="FG195" s="21"/>
      <c r="FH195" s="21"/>
      <c r="FI195" s="21"/>
      <c r="FJ195" s="21"/>
      <c r="FK195" s="21"/>
      <c r="FL195" s="21"/>
      <c r="FM195" s="21"/>
      <c r="FN195" s="21"/>
      <c r="FO195" s="21"/>
      <c r="FP195" s="21"/>
      <c r="FQ195" s="21"/>
      <c r="FR195" s="21"/>
      <c r="FS195" s="21"/>
      <c r="FT195" s="21"/>
      <c r="FU195" s="21"/>
      <c r="FV195" s="21"/>
      <c r="FW195" s="168">
        <v>-10844000</v>
      </c>
      <c r="FX195" s="168">
        <v>-9047000</v>
      </c>
      <c r="FY195" s="168">
        <v>47000</v>
      </c>
      <c r="FZ195" s="168">
        <v>35000</v>
      </c>
      <c r="GA195" s="21"/>
      <c r="GB195" s="21"/>
      <c r="GC195" s="21"/>
      <c r="GD195" s="21"/>
      <c r="GE195" s="21"/>
      <c r="GF195" s="21"/>
      <c r="GG195" s="21"/>
      <c r="GH195" s="21"/>
      <c r="GI195" s="21"/>
      <c r="GJ195" s="21"/>
      <c r="GK195" s="21"/>
      <c r="GL195" s="21"/>
      <c r="GM195" s="168">
        <v>26412000</v>
      </c>
      <c r="GN195" s="168">
        <v>23497000</v>
      </c>
      <c r="GO195" s="168">
        <v>26459000</v>
      </c>
      <c r="GP195" s="168">
        <v>23532000</v>
      </c>
      <c r="GQ195" s="168">
        <v>7000</v>
      </c>
      <c r="GR195" s="168">
        <v>-99000</v>
      </c>
      <c r="GS195" s="21"/>
      <c r="GT195" s="21"/>
      <c r="GU195" s="21"/>
      <c r="GV195" s="21"/>
      <c r="GW195" s="21"/>
      <c r="GX195" s="21"/>
      <c r="GY195" s="21"/>
      <c r="GZ195" s="21"/>
      <c r="HA195" s="21"/>
      <c r="HB195" s="21"/>
      <c r="HC195" s="168">
        <v>-39647000</v>
      </c>
      <c r="HD195" s="168">
        <v>-34915000</v>
      </c>
      <c r="HE195" s="21"/>
      <c r="HF195" s="21"/>
      <c r="HG195" s="21"/>
      <c r="HH195" s="21"/>
      <c r="HI195" s="168">
        <v>1872000</v>
      </c>
      <c r="HJ195" s="168">
        <v>517000</v>
      </c>
      <c r="HK195" s="21"/>
      <c r="HL195" s="21"/>
      <c r="HM195" s="21"/>
      <c r="HN195" s="21"/>
      <c r="HO195" s="21"/>
      <c r="HP195" s="21"/>
      <c r="HQ195" s="21"/>
      <c r="HR195" s="21"/>
      <c r="HS195" s="21"/>
      <c r="HT195" s="21"/>
      <c r="HU195" s="168">
        <v>-12805000</v>
      </c>
      <c r="HV195" s="168">
        <v>-10010000</v>
      </c>
      <c r="HW195" s="168">
        <v>-3294000</v>
      </c>
      <c r="HX195" s="168">
        <v>-4486000</v>
      </c>
      <c r="HY195" s="21"/>
      <c r="HZ195" s="21"/>
      <c r="IA195" s="21"/>
      <c r="IB195" s="21"/>
      <c r="IC195" s="21"/>
      <c r="ID195" s="21"/>
      <c r="IE195" s="168">
        <v>-2204000</v>
      </c>
      <c r="IF195" s="168">
        <v>-2028000</v>
      </c>
      <c r="IG195" s="21"/>
      <c r="IH195" s="21"/>
      <c r="II195" s="21"/>
      <c r="IJ195" s="21"/>
      <c r="IK195" s="21"/>
      <c r="IL195" s="21"/>
      <c r="IM195" s="21"/>
      <c r="IN195" s="21"/>
      <c r="IO195" s="21"/>
      <c r="IP195" s="21"/>
      <c r="IQ195" s="21"/>
      <c r="IR195" s="21"/>
      <c r="IS195" s="21"/>
      <c r="IT195" s="21"/>
      <c r="IU195" s="168">
        <v>37296000</v>
      </c>
      <c r="IV195" s="168">
        <v>32678000</v>
      </c>
      <c r="IW195" s="168">
        <v>42021000</v>
      </c>
      <c r="IX195" s="168">
        <v>37959000</v>
      </c>
      <c r="IY195" s="21"/>
      <c r="IZ195" s="21"/>
      <c r="JA195" s="21"/>
      <c r="JB195" s="21"/>
      <c r="JC195" s="21"/>
      <c r="JD195" s="21"/>
      <c r="JE195" s="168">
        <v>-51582000</v>
      </c>
      <c r="JF195" s="168">
        <v>-44947000</v>
      </c>
      <c r="JG195" s="21"/>
      <c r="JH195" s="21"/>
      <c r="JI195" s="21"/>
      <c r="JJ195" s="21"/>
      <c r="JK195" s="21"/>
      <c r="JL195" s="21"/>
      <c r="JM195" s="21"/>
      <c r="JN195" s="21"/>
      <c r="JO195" s="21"/>
      <c r="JP195" s="21"/>
      <c r="JQ195" s="21"/>
      <c r="JR195" s="21"/>
      <c r="JS195" s="21"/>
      <c r="JT195" s="21"/>
      <c r="JU195" s="21"/>
      <c r="JV195" s="21"/>
      <c r="JW195" s="168">
        <v>246501000</v>
      </c>
      <c r="JX195" s="168">
        <v>211282000</v>
      </c>
      <c r="JY195" s="21"/>
      <c r="JZ195" s="21"/>
      <c r="KA195" s="21"/>
      <c r="KB195" s="21"/>
      <c r="KC195" s="21"/>
      <c r="KD195" s="21"/>
      <c r="KE195" s="21"/>
      <c r="KF195" s="21"/>
      <c r="KG195" s="21"/>
      <c r="KH195" s="21"/>
      <c r="KI195" s="21"/>
      <c r="KJ195" s="21"/>
      <c r="KK195" s="21"/>
      <c r="KL195" s="21"/>
      <c r="KM195" s="21"/>
      <c r="KN195" s="21"/>
      <c r="KO195" s="21"/>
      <c r="KP195" s="21"/>
      <c r="KQ195" s="21"/>
      <c r="KR195" s="21"/>
      <c r="KS195" s="21"/>
      <c r="KT195" s="21"/>
      <c r="KU195" s="21"/>
      <c r="KV195" s="21"/>
      <c r="KW195" s="21"/>
      <c r="KX195" s="21"/>
      <c r="KY195" s="21"/>
      <c r="KZ195" s="21"/>
      <c r="LA195" s="168">
        <v>62904000</v>
      </c>
      <c r="LB195" s="168">
        <v>61615000</v>
      </c>
      <c r="LC195" s="21"/>
      <c r="LD195" s="21"/>
      <c r="LE195" s="21"/>
      <c r="LF195" s="21"/>
      <c r="LG195" s="21"/>
      <c r="LH195" s="21"/>
      <c r="LI195" s="21"/>
      <c r="LJ195" s="21"/>
      <c r="LK195" s="168">
        <v>56144000</v>
      </c>
      <c r="LL195" s="168">
        <v>54756000</v>
      </c>
      <c r="LM195" s="21"/>
      <c r="LN195" s="21"/>
      <c r="LO195" s="21"/>
      <c r="LP195" s="21"/>
      <c r="LQ195" s="21"/>
      <c r="LR195" s="21"/>
      <c r="LS195" s="21"/>
      <c r="LT195" s="21"/>
      <c r="LU195" s="21"/>
      <c r="LV195" s="21"/>
      <c r="LW195" s="21"/>
      <c r="LX195" s="21"/>
      <c r="LY195" s="21"/>
      <c r="LZ195" s="21"/>
      <c r="MA195" s="21"/>
      <c r="MB195" s="21"/>
      <c r="MC195" s="168">
        <v>89936000</v>
      </c>
      <c r="MD195" s="168">
        <v>105942000</v>
      </c>
      <c r="ME195" s="21"/>
      <c r="MF195" s="21"/>
      <c r="MG195" s="168">
        <v>3719000</v>
      </c>
      <c r="MH195" s="168">
        <v>3658000</v>
      </c>
      <c r="MI195" s="168">
        <v>18642000</v>
      </c>
      <c r="MJ195" s="168">
        <v>12214000</v>
      </c>
      <c r="MK195" s="21"/>
      <c r="ML195" s="21"/>
      <c r="MM195" s="21"/>
      <c r="MN195" s="21"/>
      <c r="MO195" s="21"/>
      <c r="MP195" s="21"/>
      <c r="MQ195" s="21"/>
      <c r="MR195" s="21"/>
      <c r="MS195" s="21"/>
      <c r="MT195" s="21"/>
      <c r="MU195" s="21"/>
      <c r="MV195" s="21"/>
      <c r="MW195" s="21"/>
      <c r="MX195" s="21"/>
      <c r="MY195" s="21"/>
      <c r="MZ195" s="21"/>
      <c r="NA195" s="21"/>
      <c r="NB195" s="21"/>
      <c r="NC195" s="168">
        <v>26412000</v>
      </c>
      <c r="ND195" s="168">
        <v>23497000</v>
      </c>
      <c r="NE195" s="21"/>
      <c r="NF195" s="21"/>
      <c r="NG195" s="168">
        <v>215145000</v>
      </c>
      <c r="NH195" s="168">
        <v>186889000</v>
      </c>
      <c r="NI195" s="21"/>
      <c r="NJ195" s="21"/>
      <c r="NK195" s="21"/>
      <c r="NL195" s="21"/>
      <c r="NM195" s="21"/>
      <c r="NN195" s="21"/>
      <c r="NO195" s="168">
        <v>421086000</v>
      </c>
      <c r="NP195" s="168">
        <v>397754000</v>
      </c>
      <c r="NQ195" s="168" t="s">
        <v>864</v>
      </c>
      <c r="NR195" s="168" t="s">
        <v>797</v>
      </c>
      <c r="NS195" s="168" t="s">
        <v>770</v>
      </c>
      <c r="NT195" s="168" t="s">
        <v>771</v>
      </c>
      <c r="NU195" s="168">
        <v>7501</v>
      </c>
      <c r="NV195" s="168" t="s">
        <v>2104</v>
      </c>
      <c r="NW195" s="168" t="s">
        <v>28</v>
      </c>
      <c r="NX195" s="168" t="s">
        <v>25</v>
      </c>
      <c r="NY195" s="169">
        <v>42825</v>
      </c>
      <c r="NZ195" s="169">
        <v>42460</v>
      </c>
      <c r="OA195" s="169">
        <v>42956</v>
      </c>
      <c r="OB195" s="168" t="s">
        <v>1509</v>
      </c>
      <c r="OC195" s="168">
        <v>12</v>
      </c>
      <c r="OD195" s="168" t="s">
        <v>2105</v>
      </c>
      <c r="OE195" s="168" t="s">
        <v>2265</v>
      </c>
      <c r="OF195" s="168" t="s">
        <v>2598</v>
      </c>
      <c r="OG195" s="168" t="s">
        <v>2059</v>
      </c>
      <c r="OH195" s="168" t="s">
        <v>765</v>
      </c>
      <c r="OI195" s="168" t="s">
        <v>766</v>
      </c>
      <c r="OJ195" s="168" t="s">
        <v>3240</v>
      </c>
      <c r="OK195" s="168" t="s">
        <v>796</v>
      </c>
    </row>
    <row r="196" spans="1:401" x14ac:dyDescent="0.2">
      <c r="A196" s="170" t="str">
        <f>Liste[[#This Row],[Siren]]</f>
        <v>532987492</v>
      </c>
      <c r="B196" s="198" t="str">
        <f>Liste[[#This Row],[Dénomination]]&amp;" - comptes "&amp;YEAR(Liste[[#This Row],[Date de cloture de l''exercice]])</f>
        <v>DEMARNE DEVELOPPEMENT - comptes 2017</v>
      </c>
      <c r="C196" s="21"/>
      <c r="D196" s="21"/>
      <c r="E196" s="21"/>
      <c r="F196" s="168">
        <v>968837</v>
      </c>
      <c r="G196" s="168">
        <v>787879</v>
      </c>
      <c r="H196" s="168">
        <v>968837</v>
      </c>
      <c r="I196" s="168">
        <v>1184770</v>
      </c>
      <c r="J196" s="168">
        <v>564838</v>
      </c>
      <c r="K196" s="168">
        <v>662959</v>
      </c>
      <c r="L196" s="168">
        <v>1749608</v>
      </c>
      <c r="M196" s="21"/>
      <c r="N196" s="168">
        <v>160125</v>
      </c>
      <c r="O196" s="168">
        <v>92703</v>
      </c>
      <c r="P196" s="168">
        <v>160125</v>
      </c>
      <c r="Q196" s="168">
        <v>445972</v>
      </c>
      <c r="R196" s="168">
        <v>4484590</v>
      </c>
      <c r="S196" s="168">
        <v>4334069</v>
      </c>
      <c r="T196" s="168">
        <v>4930562</v>
      </c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168">
        <v>1445411</v>
      </c>
      <c r="BD196" s="168">
        <v>14176285</v>
      </c>
      <c r="BE196" s="168">
        <v>13465775</v>
      </c>
      <c r="BF196" s="168">
        <v>15621696</v>
      </c>
      <c r="BG196" s="21"/>
      <c r="BH196" s="21"/>
      <c r="BI196" s="21"/>
      <c r="BJ196" s="21"/>
      <c r="BK196" s="168">
        <v>1514270</v>
      </c>
      <c r="BL196" s="168">
        <v>953647</v>
      </c>
      <c r="BM196" s="168">
        <v>1190346</v>
      </c>
      <c r="BN196" s="168">
        <v>2467917</v>
      </c>
      <c r="BO196" s="21"/>
      <c r="BP196" s="21"/>
      <c r="BQ196" s="21"/>
      <c r="BR196" s="21"/>
      <c r="BS196" s="21"/>
      <c r="BT196" s="21"/>
      <c r="BU196" s="21"/>
      <c r="BV196" s="21"/>
      <c r="BW196" s="21"/>
      <c r="BX196" s="168">
        <v>5565902</v>
      </c>
      <c r="BY196" s="168">
        <v>6107826</v>
      </c>
      <c r="BZ196" s="168">
        <v>5565902</v>
      </c>
      <c r="CA196" s="21"/>
      <c r="CB196" s="21"/>
      <c r="CC196" s="21"/>
      <c r="CD196" s="168">
        <v>1156625</v>
      </c>
      <c r="CE196" s="168">
        <v>3038335</v>
      </c>
      <c r="CF196" s="168">
        <v>3248084</v>
      </c>
      <c r="CG196" s="168">
        <v>4194960</v>
      </c>
      <c r="CH196" s="21"/>
      <c r="CI196" s="21"/>
      <c r="CJ196" s="21"/>
      <c r="CK196" s="21"/>
      <c r="CL196" s="21"/>
      <c r="CM196" s="21"/>
      <c r="CN196" s="21"/>
      <c r="CO196" s="21"/>
      <c r="CP196" s="168">
        <v>235132</v>
      </c>
      <c r="CQ196" s="168">
        <v>137034</v>
      </c>
      <c r="CR196" s="168">
        <v>161695</v>
      </c>
      <c r="CS196" s="168">
        <v>372166</v>
      </c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168">
        <v>543747</v>
      </c>
      <c r="DG196" s="168">
        <v>227529</v>
      </c>
      <c r="DH196" s="168">
        <v>181890</v>
      </c>
      <c r="DI196" s="168">
        <v>771276</v>
      </c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168">
        <v>5114847</v>
      </c>
      <c r="EL196" s="168">
        <v>9817575</v>
      </c>
      <c r="EM196" s="168">
        <v>10117666</v>
      </c>
      <c r="EN196" s="168">
        <v>14932422</v>
      </c>
      <c r="EO196" s="168">
        <v>1445411</v>
      </c>
      <c r="EP196" s="168">
        <v>22583600</v>
      </c>
      <c r="EQ196" s="168">
        <v>22225470</v>
      </c>
      <c r="ER196" s="168">
        <v>24029011</v>
      </c>
      <c r="ES196" s="168">
        <v>6560258</v>
      </c>
      <c r="ET196" s="168">
        <v>32401175</v>
      </c>
      <c r="EU196" s="168">
        <v>32343136</v>
      </c>
      <c r="EV196" s="168">
        <v>38961433</v>
      </c>
      <c r="EW196" s="168">
        <v>34331</v>
      </c>
      <c r="EX196" s="168">
        <v>29793</v>
      </c>
      <c r="EY196" s="168">
        <v>32856</v>
      </c>
      <c r="EZ196" s="168">
        <v>64124</v>
      </c>
      <c r="FA196" s="21"/>
      <c r="FB196" s="168">
        <v>96417</v>
      </c>
      <c r="FC196" s="168">
        <v>88804</v>
      </c>
      <c r="FD196" s="168">
        <v>96417</v>
      </c>
      <c r="FE196" s="21"/>
      <c r="FF196" s="168">
        <v>47548</v>
      </c>
      <c r="FG196" s="168">
        <v>47548</v>
      </c>
      <c r="FH196" s="168">
        <v>47548</v>
      </c>
      <c r="FI196" s="168">
        <v>287963</v>
      </c>
      <c r="FJ196" s="168">
        <v>-699568</v>
      </c>
      <c r="FK196" s="21"/>
      <c r="FL196" s="21"/>
      <c r="FM196" s="21"/>
      <c r="FN196" s="21"/>
      <c r="FO196" s="21"/>
      <c r="FP196" s="21"/>
      <c r="FQ196" s="168">
        <v>-209748</v>
      </c>
      <c r="FR196" s="168">
        <v>-209748</v>
      </c>
      <c r="FS196" s="21"/>
      <c r="FT196" s="21"/>
      <c r="FU196" s="168">
        <v>41714</v>
      </c>
      <c r="FV196" s="168">
        <v>19557</v>
      </c>
      <c r="FW196" s="168">
        <v>-977480</v>
      </c>
      <c r="FX196" s="168">
        <v>-836193</v>
      </c>
      <c r="FY196" s="21"/>
      <c r="FZ196" s="21"/>
      <c r="GA196" s="21"/>
      <c r="GB196" s="21"/>
      <c r="GC196" s="21"/>
      <c r="GD196" s="21"/>
      <c r="GE196" s="21"/>
      <c r="GF196" s="21"/>
      <c r="GG196" s="21"/>
      <c r="GH196" s="21"/>
      <c r="GI196" s="21"/>
      <c r="GJ196" s="21"/>
      <c r="GK196" s="21"/>
      <c r="GL196" s="21"/>
      <c r="GM196" s="168">
        <v>1851787</v>
      </c>
      <c r="GN196" s="168">
        <v>1340784</v>
      </c>
      <c r="GO196" s="168">
        <v>2053922</v>
      </c>
      <c r="GP196" s="168">
        <v>1530488</v>
      </c>
      <c r="GQ196" s="168">
        <v>7613</v>
      </c>
      <c r="GR196" s="168">
        <v>20044</v>
      </c>
      <c r="GS196" s="168">
        <v>1851787</v>
      </c>
      <c r="GT196" s="168">
        <v>1340784</v>
      </c>
      <c r="GU196" s="168">
        <v>661113</v>
      </c>
      <c r="GV196" s="168">
        <v>706136</v>
      </c>
      <c r="GW196" s="168">
        <v>949076</v>
      </c>
      <c r="GX196" s="168">
        <v>6568</v>
      </c>
      <c r="GY196" s="21"/>
      <c r="GZ196" s="21"/>
      <c r="HA196" s="21"/>
      <c r="HB196" s="21"/>
      <c r="HC196" s="168">
        <v>4160971</v>
      </c>
      <c r="HD196" s="168">
        <v>4080510</v>
      </c>
      <c r="HE196" s="168">
        <v>652046</v>
      </c>
      <c r="HF196" s="168">
        <v>175745</v>
      </c>
      <c r="HG196" s="21"/>
      <c r="HH196" s="21"/>
      <c r="HI196" s="168">
        <v>971707</v>
      </c>
      <c r="HJ196" s="168">
        <v>580259</v>
      </c>
      <c r="HK196" s="21"/>
      <c r="HL196" s="21"/>
      <c r="HM196" s="21"/>
      <c r="HN196" s="21"/>
      <c r="HO196" s="21"/>
      <c r="HP196" s="21"/>
      <c r="HQ196" s="21"/>
      <c r="HR196" s="21"/>
      <c r="HS196" s="21"/>
      <c r="HT196" s="21"/>
      <c r="HU196" s="168">
        <v>1011520</v>
      </c>
      <c r="HV196" s="168">
        <v>1059427</v>
      </c>
      <c r="HW196" s="21"/>
      <c r="HX196" s="21"/>
      <c r="HY196" s="21"/>
      <c r="HZ196" s="21"/>
      <c r="IA196" s="21"/>
      <c r="IB196" s="21"/>
      <c r="IC196" s="21"/>
      <c r="ID196" s="21"/>
      <c r="IE196" s="168">
        <v>663417</v>
      </c>
      <c r="IF196" s="168">
        <v>632127</v>
      </c>
      <c r="IG196" s="21"/>
      <c r="IH196" s="21"/>
      <c r="II196" s="21"/>
      <c r="IJ196" s="21"/>
      <c r="IK196" s="21"/>
      <c r="IL196" s="21"/>
      <c r="IM196" s="21"/>
      <c r="IN196" s="21"/>
      <c r="IO196" s="21"/>
      <c r="IP196" s="21"/>
      <c r="IQ196" s="21"/>
      <c r="IR196" s="21"/>
      <c r="IS196" s="21"/>
      <c r="IT196" s="21"/>
      <c r="IU196" s="168">
        <v>2701725</v>
      </c>
      <c r="IV196" s="168">
        <v>3046692</v>
      </c>
      <c r="IW196" s="168">
        <v>3504518</v>
      </c>
      <c r="IX196" s="168">
        <v>3266687</v>
      </c>
      <c r="IY196" s="168">
        <v>-802793</v>
      </c>
      <c r="IZ196" s="168">
        <v>-219995</v>
      </c>
      <c r="JA196" s="21"/>
      <c r="JB196" s="21"/>
      <c r="JC196" s="21"/>
      <c r="JD196" s="21"/>
      <c r="JE196" s="168">
        <v>9778230</v>
      </c>
      <c r="JF196" s="168">
        <v>9666972</v>
      </c>
      <c r="JG196" s="21"/>
      <c r="JH196" s="21"/>
      <c r="JI196" s="168">
        <v>127981992</v>
      </c>
      <c r="JJ196" s="168">
        <v>118720940</v>
      </c>
      <c r="JK196" s="168">
        <v>813472</v>
      </c>
      <c r="JL196" s="168">
        <v>233459</v>
      </c>
      <c r="JM196" s="168">
        <v>131486510</v>
      </c>
      <c r="JN196" s="168">
        <v>121987627</v>
      </c>
      <c r="JO196" s="168">
        <v>10679</v>
      </c>
      <c r="JP196" s="168">
        <v>13464</v>
      </c>
      <c r="JQ196" s="21"/>
      <c r="JR196" s="21"/>
      <c r="JS196" s="21"/>
      <c r="JT196" s="21"/>
      <c r="JU196" s="21"/>
      <c r="JV196" s="21"/>
      <c r="JW196" s="168">
        <v>130514803</v>
      </c>
      <c r="JX196" s="168">
        <v>121407368</v>
      </c>
      <c r="JY196" s="21"/>
      <c r="JZ196" s="21"/>
      <c r="KA196" s="21"/>
      <c r="KB196" s="21"/>
      <c r="KC196" s="21"/>
      <c r="KD196" s="21"/>
      <c r="KE196" s="21"/>
      <c r="KF196" s="21"/>
      <c r="KG196" s="21"/>
      <c r="KH196" s="21"/>
      <c r="KI196" s="21"/>
      <c r="KJ196" s="21"/>
      <c r="KK196" s="21"/>
      <c r="KL196" s="21"/>
      <c r="KM196" s="21"/>
      <c r="KN196" s="21"/>
      <c r="KO196" s="21"/>
      <c r="KP196" s="21"/>
      <c r="KQ196" s="168">
        <v>1258113</v>
      </c>
      <c r="KR196" s="168">
        <v>1157174</v>
      </c>
      <c r="KS196" s="21"/>
      <c r="KT196" s="21"/>
      <c r="KU196" s="168">
        <v>3613499</v>
      </c>
      <c r="KV196" s="168">
        <v>2272716</v>
      </c>
      <c r="KW196" s="21"/>
      <c r="KX196" s="21"/>
      <c r="KY196" s="21"/>
      <c r="KZ196" s="21"/>
      <c r="LA196" s="168">
        <v>1500000</v>
      </c>
      <c r="LB196" s="168">
        <v>1500000</v>
      </c>
      <c r="LC196" s="21"/>
      <c r="LD196" s="21"/>
      <c r="LE196" s="21"/>
      <c r="LF196" s="21"/>
      <c r="LG196" s="21"/>
      <c r="LH196" s="21"/>
      <c r="LI196" s="168">
        <v>4821677</v>
      </c>
      <c r="LJ196" s="168">
        <v>4697498</v>
      </c>
      <c r="LK196" s="168">
        <v>10086529</v>
      </c>
      <c r="LL196" s="168">
        <v>10017768</v>
      </c>
      <c r="LM196" s="21"/>
      <c r="LN196" s="21"/>
      <c r="LO196" s="21"/>
      <c r="LP196" s="21"/>
      <c r="LQ196" s="21"/>
      <c r="LR196" s="21"/>
      <c r="LS196" s="21"/>
      <c r="LT196" s="21"/>
      <c r="LU196" s="21"/>
      <c r="LV196" s="21"/>
      <c r="LW196" s="21"/>
      <c r="LX196" s="21"/>
      <c r="LY196" s="21"/>
      <c r="LZ196" s="21"/>
      <c r="MA196" s="168">
        <v>2327750</v>
      </c>
      <c r="MB196" s="168">
        <v>2928959</v>
      </c>
      <c r="MC196" s="168">
        <v>26261</v>
      </c>
      <c r="MD196" s="168">
        <v>39712</v>
      </c>
      <c r="ME196" s="168">
        <v>2199999</v>
      </c>
      <c r="MF196" s="168">
        <v>3400000</v>
      </c>
      <c r="MG196" s="168">
        <v>264336</v>
      </c>
      <c r="MH196" s="168">
        <v>271899</v>
      </c>
      <c r="MI196" s="168">
        <v>2349899</v>
      </c>
      <c r="MJ196" s="168">
        <v>2349899</v>
      </c>
      <c r="MK196" s="21"/>
      <c r="ML196" s="21"/>
      <c r="MM196" s="21"/>
      <c r="MN196" s="21"/>
      <c r="MO196" s="21"/>
      <c r="MP196" s="21"/>
      <c r="MQ196" s="21"/>
      <c r="MR196" s="21"/>
      <c r="MS196" s="21"/>
      <c r="MT196" s="21"/>
      <c r="MU196" s="21"/>
      <c r="MV196" s="21"/>
      <c r="MW196" s="168">
        <v>150000</v>
      </c>
      <c r="MX196" s="168">
        <v>150000</v>
      </c>
      <c r="MY196" s="21"/>
      <c r="MZ196" s="21"/>
      <c r="NA196" s="21"/>
      <c r="NB196" s="21"/>
      <c r="NC196" s="168">
        <v>1851787</v>
      </c>
      <c r="ND196" s="168">
        <v>1340784</v>
      </c>
      <c r="NE196" s="21"/>
      <c r="NF196" s="21"/>
      <c r="NG196" s="168">
        <v>9465185</v>
      </c>
      <c r="NH196" s="168">
        <v>7613399</v>
      </c>
      <c r="NI196" s="21"/>
      <c r="NJ196" s="21"/>
      <c r="NK196" s="21"/>
      <c r="NL196" s="21"/>
      <c r="NM196" s="168">
        <v>20720329</v>
      </c>
      <c r="NN196" s="168">
        <v>22241111</v>
      </c>
      <c r="NO196" s="168">
        <v>32401175</v>
      </c>
      <c r="NP196" s="168">
        <v>32343136</v>
      </c>
      <c r="NQ196" s="168" t="s">
        <v>810</v>
      </c>
      <c r="NR196" s="168" t="s">
        <v>769</v>
      </c>
      <c r="NS196" s="168" t="s">
        <v>770</v>
      </c>
      <c r="NT196" s="168" t="s">
        <v>771</v>
      </c>
      <c r="NU196" s="168">
        <v>9401</v>
      </c>
      <c r="NV196" s="168" t="s">
        <v>2104</v>
      </c>
      <c r="NW196" s="168" t="s">
        <v>28</v>
      </c>
      <c r="NX196" s="168" t="s">
        <v>25</v>
      </c>
      <c r="NY196" s="169">
        <v>42825</v>
      </c>
      <c r="NZ196" s="169">
        <v>42460</v>
      </c>
      <c r="OA196" s="169">
        <v>43007</v>
      </c>
      <c r="OB196" s="168" t="s">
        <v>1504</v>
      </c>
      <c r="OC196" s="168">
        <v>12</v>
      </c>
      <c r="OD196" s="168" t="s">
        <v>2106</v>
      </c>
      <c r="OE196" s="168" t="s">
        <v>2594</v>
      </c>
      <c r="OF196" s="168" t="s">
        <v>2595</v>
      </c>
      <c r="OG196" s="168" t="s">
        <v>2056</v>
      </c>
      <c r="OH196" s="168" t="s">
        <v>808</v>
      </c>
      <c r="OI196" s="168" t="s">
        <v>766</v>
      </c>
      <c r="OJ196" s="168" t="s">
        <v>3240</v>
      </c>
      <c r="OK196" s="168" t="s">
        <v>767</v>
      </c>
    </row>
    <row r="197" spans="1:401" x14ac:dyDescent="0.2">
      <c r="A197" s="170" t="str">
        <f>Liste[[#This Row],[Siren]]</f>
        <v>418367306</v>
      </c>
      <c r="B197" s="198" t="str">
        <f>Liste[[#This Row],[Dénomination]]&amp;" - comptes "&amp;YEAR(Liste[[#This Row],[Date de cloture de l''exercice]])</f>
        <v>FINANCIERE PAYEN - comptes 2017</v>
      </c>
      <c r="C197" s="21"/>
      <c r="D197" s="21"/>
      <c r="E197" s="21"/>
      <c r="F197" s="168">
        <v>704570</v>
      </c>
      <c r="G197" s="168">
        <v>687654</v>
      </c>
      <c r="H197" s="168">
        <v>704570</v>
      </c>
      <c r="I197" s="168">
        <v>574718</v>
      </c>
      <c r="J197" s="168">
        <v>54661</v>
      </c>
      <c r="K197" s="168">
        <v>97759</v>
      </c>
      <c r="L197" s="168">
        <v>629380</v>
      </c>
      <c r="M197" s="21"/>
      <c r="N197" s="168">
        <v>118762</v>
      </c>
      <c r="O197" s="168">
        <v>78259</v>
      </c>
      <c r="P197" s="168">
        <v>118762</v>
      </c>
      <c r="Q197" s="21"/>
      <c r="R197" s="21"/>
      <c r="S197" s="21"/>
      <c r="T197" s="21"/>
      <c r="U197" s="21"/>
      <c r="V197" s="21"/>
      <c r="W197" s="21"/>
      <c r="X197" s="21"/>
      <c r="Y197" s="21"/>
      <c r="Z197" s="168">
        <v>2090</v>
      </c>
      <c r="AA197" s="168">
        <v>2059</v>
      </c>
      <c r="AB197" s="168">
        <v>2090</v>
      </c>
      <c r="AC197" s="21"/>
      <c r="AD197" s="21"/>
      <c r="AE197" s="168">
        <v>572</v>
      </c>
      <c r="AF197" s="21"/>
      <c r="AG197" s="21"/>
      <c r="AH197" s="21"/>
      <c r="AI197" s="21"/>
      <c r="AJ197" s="21"/>
      <c r="AK197" s="21"/>
      <c r="AL197" s="168">
        <v>16672</v>
      </c>
      <c r="AM197" s="168">
        <v>190786</v>
      </c>
      <c r="AN197" s="168">
        <v>16672</v>
      </c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168">
        <v>66209</v>
      </c>
      <c r="BA197" s="168">
        <v>175288</v>
      </c>
      <c r="BB197" s="168">
        <v>66209</v>
      </c>
      <c r="BC197" s="168">
        <v>340015</v>
      </c>
      <c r="BD197" s="168">
        <v>18730495</v>
      </c>
      <c r="BE197" s="168">
        <v>11773738</v>
      </c>
      <c r="BF197" s="168">
        <v>19070510</v>
      </c>
      <c r="BG197" s="168">
        <v>67534</v>
      </c>
      <c r="BH197" s="168">
        <v>2377</v>
      </c>
      <c r="BI197" s="168">
        <v>3689</v>
      </c>
      <c r="BJ197" s="168">
        <v>69911</v>
      </c>
      <c r="BK197" s="168">
        <v>1991562</v>
      </c>
      <c r="BL197" s="168">
        <v>903193</v>
      </c>
      <c r="BM197" s="168">
        <v>1005797</v>
      </c>
      <c r="BN197" s="168">
        <v>2894755</v>
      </c>
      <c r="BO197" s="21"/>
      <c r="BP197" s="21"/>
      <c r="BQ197" s="21"/>
      <c r="BR197" s="21"/>
      <c r="BS197" s="21"/>
      <c r="BT197" s="21"/>
      <c r="BU197" s="21"/>
      <c r="BV197" s="21"/>
      <c r="BW197" s="21"/>
      <c r="BX197" s="168">
        <v>1281133</v>
      </c>
      <c r="BY197" s="168">
        <v>1330009</v>
      </c>
      <c r="BZ197" s="168">
        <v>1281133</v>
      </c>
      <c r="CA197" s="168">
        <v>7383</v>
      </c>
      <c r="CB197" s="168">
        <v>236</v>
      </c>
      <c r="CC197" s="168">
        <v>7383</v>
      </c>
      <c r="CD197" s="168">
        <v>121894</v>
      </c>
      <c r="CE197" s="168">
        <v>21511</v>
      </c>
      <c r="CF197" s="168">
        <v>50192</v>
      </c>
      <c r="CG197" s="168">
        <v>143405</v>
      </c>
      <c r="CH197" s="21"/>
      <c r="CI197" s="21"/>
      <c r="CJ197" s="21"/>
      <c r="CK197" s="21"/>
      <c r="CL197" s="21"/>
      <c r="CM197" s="21"/>
      <c r="CN197" s="21"/>
      <c r="CO197" s="21"/>
      <c r="CP197" s="21"/>
      <c r="CQ197" s="168">
        <v>6098</v>
      </c>
      <c r="CR197" s="168">
        <v>6098</v>
      </c>
      <c r="CS197" s="168">
        <v>6098</v>
      </c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168">
        <v>705054</v>
      </c>
      <c r="DG197" s="168">
        <v>712545</v>
      </c>
      <c r="DH197" s="168">
        <v>460036</v>
      </c>
      <c r="DI197" s="168">
        <v>1417599</v>
      </c>
      <c r="DJ197" s="168">
        <v>1556592</v>
      </c>
      <c r="DK197" s="168">
        <v>6628887</v>
      </c>
      <c r="DL197" s="168">
        <v>7795980</v>
      </c>
      <c r="DM197" s="168">
        <v>8185479</v>
      </c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168">
        <v>3620980</v>
      </c>
      <c r="EL197" s="168">
        <v>2006699</v>
      </c>
      <c r="EM197" s="168">
        <v>1891062</v>
      </c>
      <c r="EN197" s="168">
        <v>5627679</v>
      </c>
      <c r="EO197" s="168">
        <v>1896607</v>
      </c>
      <c r="EP197" s="168">
        <v>27545660</v>
      </c>
      <c r="EQ197" s="168">
        <v>22059697</v>
      </c>
      <c r="ER197" s="168">
        <v>29442268</v>
      </c>
      <c r="ES197" s="168">
        <v>5517587</v>
      </c>
      <c r="ET197" s="168">
        <v>29559743</v>
      </c>
      <c r="EU197" s="168">
        <v>23950996</v>
      </c>
      <c r="EV197" s="168">
        <v>35077330</v>
      </c>
      <c r="EW197" s="168">
        <v>160217</v>
      </c>
      <c r="EX197" s="168">
        <v>179364</v>
      </c>
      <c r="EY197" s="168">
        <v>180504</v>
      </c>
      <c r="EZ197" s="168">
        <v>339581</v>
      </c>
      <c r="FA197" s="21"/>
      <c r="FB197" s="21"/>
      <c r="FC197" s="21"/>
      <c r="FD197" s="21"/>
      <c r="FE197" s="21"/>
      <c r="FF197" s="21"/>
      <c r="FG197" s="21"/>
      <c r="FH197" s="21"/>
      <c r="FI197" s="168">
        <v>10367</v>
      </c>
      <c r="FJ197" s="168">
        <v>186629</v>
      </c>
      <c r="FK197" s="168">
        <v>616004</v>
      </c>
      <c r="FL197" s="168">
        <v>614941</v>
      </c>
      <c r="FM197" s="168">
        <v>1280</v>
      </c>
      <c r="FN197" s="168">
        <v>1514</v>
      </c>
      <c r="FO197" s="168">
        <v>48624</v>
      </c>
      <c r="FP197" s="168">
        <v>219381</v>
      </c>
      <c r="FQ197" s="168">
        <v>28681</v>
      </c>
      <c r="FR197" s="168">
        <v>28681</v>
      </c>
      <c r="FS197" s="168">
        <v>80000</v>
      </c>
      <c r="FT197" s="21"/>
      <c r="FU197" s="21"/>
      <c r="FV197" s="21"/>
      <c r="FW197" s="168">
        <v>262769</v>
      </c>
      <c r="FX197" s="168">
        <v>241604</v>
      </c>
      <c r="FY197" s="21"/>
      <c r="FZ197" s="21"/>
      <c r="GA197" s="21"/>
      <c r="GB197" s="21"/>
      <c r="GC197" s="168">
        <v>7666</v>
      </c>
      <c r="GD197" s="21"/>
      <c r="GE197" s="168">
        <v>132605</v>
      </c>
      <c r="GF197" s="168">
        <v>407524</v>
      </c>
      <c r="GG197" s="21"/>
      <c r="GH197" s="21"/>
      <c r="GI197" s="21"/>
      <c r="GJ197" s="21"/>
      <c r="GK197" s="21"/>
      <c r="GL197" s="21"/>
      <c r="GM197" s="21"/>
      <c r="GN197" s="21"/>
      <c r="GO197" s="21"/>
      <c r="GP197" s="21"/>
      <c r="GQ197" s="21"/>
      <c r="GR197" s="21"/>
      <c r="GS197" s="168">
        <v>587323</v>
      </c>
      <c r="GT197" s="168">
        <v>586260</v>
      </c>
      <c r="GU197" s="168">
        <v>129904</v>
      </c>
      <c r="GV197" s="168">
        <v>220895</v>
      </c>
      <c r="GW197" s="168">
        <v>140271</v>
      </c>
      <c r="GX197" s="168">
        <v>407524</v>
      </c>
      <c r="GY197" s="168">
        <v>43803514</v>
      </c>
      <c r="GZ197" s="168">
        <v>38092365</v>
      </c>
      <c r="HA197" s="21"/>
      <c r="HB197" s="21"/>
      <c r="HC197" s="168">
        <v>5448173</v>
      </c>
      <c r="HD197" s="168">
        <v>5297947</v>
      </c>
      <c r="HE197" s="168">
        <v>11796</v>
      </c>
      <c r="HF197" s="168">
        <v>58769</v>
      </c>
      <c r="HG197" s="168">
        <v>17494</v>
      </c>
      <c r="HH197" s="168">
        <v>14575</v>
      </c>
      <c r="HI197" s="168">
        <v>79555</v>
      </c>
      <c r="HJ197" s="168">
        <v>151269</v>
      </c>
      <c r="HK197" s="21"/>
      <c r="HL197" s="21"/>
      <c r="HM197" s="21"/>
      <c r="HN197" s="21"/>
      <c r="HO197" s="168">
        <v>568113</v>
      </c>
      <c r="HP197" s="168">
        <v>464849</v>
      </c>
      <c r="HQ197" s="168">
        <v>742</v>
      </c>
      <c r="HR197" s="168">
        <v>1975</v>
      </c>
      <c r="HS197" s="168">
        <v>3304</v>
      </c>
      <c r="HT197" s="168">
        <v>77</v>
      </c>
      <c r="HU197" s="21"/>
      <c r="HV197" s="21"/>
      <c r="HW197" s="21"/>
      <c r="HX197" s="21"/>
      <c r="HY197" s="168">
        <v>201763</v>
      </c>
      <c r="HZ197" s="168">
        <v>269699</v>
      </c>
      <c r="IA197" s="168">
        <v>394426</v>
      </c>
      <c r="IB197" s="168">
        <v>412895</v>
      </c>
      <c r="IC197" s="168">
        <v>5497</v>
      </c>
      <c r="ID197" s="168">
        <v>4384</v>
      </c>
      <c r="IE197" s="168">
        <v>451182</v>
      </c>
      <c r="IF197" s="168">
        <v>461562</v>
      </c>
      <c r="IG197" s="168">
        <v>144036</v>
      </c>
      <c r="IH197" s="168">
        <v>170969</v>
      </c>
      <c r="II197" s="21"/>
      <c r="IJ197" s="21"/>
      <c r="IK197" s="168">
        <v>693284</v>
      </c>
      <c r="IL197" s="168">
        <v>334686</v>
      </c>
      <c r="IM197" s="168">
        <v>11397</v>
      </c>
      <c r="IN197" s="168">
        <v>-6691</v>
      </c>
      <c r="IO197" s="21"/>
      <c r="IP197" s="21"/>
      <c r="IQ197" s="21"/>
      <c r="IR197" s="21"/>
      <c r="IS197" s="21"/>
      <c r="IT197" s="21"/>
      <c r="IU197" s="168">
        <v>868406</v>
      </c>
      <c r="IV197" s="168">
        <v>669917</v>
      </c>
      <c r="IW197" s="168">
        <v>993500</v>
      </c>
      <c r="IX197" s="168">
        <v>819381</v>
      </c>
      <c r="IY197" s="168">
        <v>-125093</v>
      </c>
      <c r="IZ197" s="168">
        <v>-149465</v>
      </c>
      <c r="JA197" s="168">
        <v>859278</v>
      </c>
      <c r="JB197" s="168">
        <v>2181384</v>
      </c>
      <c r="JC197" s="168">
        <v>4384</v>
      </c>
      <c r="JD197" s="168">
        <v>13210</v>
      </c>
      <c r="JE197" s="168">
        <v>6344344</v>
      </c>
      <c r="JF197" s="168">
        <v>6631371</v>
      </c>
      <c r="JG197" s="168">
        <v>15979</v>
      </c>
      <c r="JH197" s="168">
        <v>16083</v>
      </c>
      <c r="JI197" s="168">
        <v>58368734</v>
      </c>
      <c r="JJ197" s="168">
        <v>51708518</v>
      </c>
      <c r="JK197" s="168">
        <v>150275</v>
      </c>
      <c r="JL197" s="168">
        <v>177327</v>
      </c>
      <c r="JM197" s="168">
        <v>59362234</v>
      </c>
      <c r="JN197" s="168">
        <v>52527899</v>
      </c>
      <c r="JO197" s="168">
        <v>25182</v>
      </c>
      <c r="JP197" s="168">
        <v>27862</v>
      </c>
      <c r="JQ197" s="168">
        <v>1145423</v>
      </c>
      <c r="JR197" s="168">
        <v>19060</v>
      </c>
      <c r="JS197" s="21"/>
      <c r="JT197" s="21"/>
      <c r="JU197" s="21"/>
      <c r="JV197" s="21"/>
      <c r="JW197" s="168">
        <v>57702740</v>
      </c>
      <c r="JX197" s="168">
        <v>49851168</v>
      </c>
      <c r="JY197" s="21"/>
      <c r="JZ197" s="21"/>
      <c r="KA197" s="21"/>
      <c r="KB197" s="21"/>
      <c r="KC197" s="21"/>
      <c r="KD197" s="21"/>
      <c r="KE197" s="21"/>
      <c r="KF197" s="21"/>
      <c r="KG197" s="21"/>
      <c r="KH197" s="21"/>
      <c r="KI197" s="168">
        <v>53973368</v>
      </c>
      <c r="KJ197" s="168">
        <v>46338482</v>
      </c>
      <c r="KK197" s="21"/>
      <c r="KL197" s="21"/>
      <c r="KM197" s="21"/>
      <c r="KN197" s="21"/>
      <c r="KO197" s="21"/>
      <c r="KP197" s="21"/>
      <c r="KQ197" s="168">
        <v>287779</v>
      </c>
      <c r="KR197" s="168">
        <v>371602</v>
      </c>
      <c r="KS197" s="21"/>
      <c r="KT197" s="21"/>
      <c r="KU197" s="21"/>
      <c r="KV197" s="21"/>
      <c r="KW197" s="21"/>
      <c r="KX197" s="21"/>
      <c r="KY197" s="168">
        <v>439746</v>
      </c>
      <c r="KZ197" s="168">
        <v>148392</v>
      </c>
      <c r="LA197" s="168">
        <v>307264</v>
      </c>
      <c r="LB197" s="168">
        <v>307264</v>
      </c>
      <c r="LC197" s="21"/>
      <c r="LD197" s="21"/>
      <c r="LE197" s="21"/>
      <c r="LF197" s="21"/>
      <c r="LG197" s="21"/>
      <c r="LH197" s="21"/>
      <c r="LI197" s="168">
        <v>3040997</v>
      </c>
      <c r="LJ197" s="168">
        <v>2632132</v>
      </c>
      <c r="LK197" s="168">
        <v>12326725</v>
      </c>
      <c r="LL197" s="168">
        <v>7432986</v>
      </c>
      <c r="LM197" s="168">
        <v>762</v>
      </c>
      <c r="LN197" s="168">
        <v>762</v>
      </c>
      <c r="LO197" s="21"/>
      <c r="LP197" s="21"/>
      <c r="LQ197" s="21"/>
      <c r="LR197" s="21"/>
      <c r="LS197" s="21"/>
      <c r="LT197" s="21"/>
      <c r="LU197" s="21"/>
      <c r="LV197" s="21"/>
      <c r="LW197" s="21"/>
      <c r="LX197" s="21"/>
      <c r="LY197" s="21"/>
      <c r="LZ197" s="21"/>
      <c r="MA197" s="168">
        <v>794039</v>
      </c>
      <c r="MB197" s="168">
        <v>920598</v>
      </c>
      <c r="MC197" s="168">
        <v>4418985</v>
      </c>
      <c r="MD197" s="168">
        <v>4793359</v>
      </c>
      <c r="ME197" s="21"/>
      <c r="MF197" s="21"/>
      <c r="MG197" s="21"/>
      <c r="MH197" s="21"/>
      <c r="MI197" s="21"/>
      <c r="MJ197" s="21"/>
      <c r="MK197" s="21"/>
      <c r="ML197" s="21"/>
      <c r="MM197" s="168">
        <v>18401</v>
      </c>
      <c r="MN197" s="168">
        <v>32396</v>
      </c>
      <c r="MO197" s="21"/>
      <c r="MP197" s="21"/>
      <c r="MQ197" s="168">
        <v>483206</v>
      </c>
      <c r="MR197" s="168">
        <v>456988</v>
      </c>
      <c r="MS197" s="21"/>
      <c r="MT197" s="21"/>
      <c r="MU197" s="21"/>
      <c r="MV197" s="21"/>
      <c r="MW197" s="21"/>
      <c r="MX197" s="21"/>
      <c r="MY197" s="21"/>
      <c r="MZ197" s="21"/>
      <c r="NA197" s="21"/>
      <c r="NB197" s="21"/>
      <c r="NC197" s="168">
        <v>587323</v>
      </c>
      <c r="ND197" s="168">
        <v>586260</v>
      </c>
      <c r="NE197" s="21"/>
      <c r="NF197" s="21"/>
      <c r="NG197" s="168">
        <v>7748944</v>
      </c>
      <c r="NH197" s="168">
        <v>7161621</v>
      </c>
      <c r="NI197" s="21"/>
      <c r="NJ197" s="21"/>
      <c r="NK197" s="21"/>
      <c r="NL197" s="21"/>
      <c r="NM197" s="168">
        <v>21327434</v>
      </c>
      <c r="NN197" s="168">
        <v>16332228</v>
      </c>
      <c r="NO197" s="168">
        <v>29559743</v>
      </c>
      <c r="NP197" s="168">
        <v>23930996</v>
      </c>
      <c r="NQ197" s="168" t="s">
        <v>1505</v>
      </c>
      <c r="NR197" s="168" t="s">
        <v>802</v>
      </c>
      <c r="NS197" s="168" t="s">
        <v>770</v>
      </c>
      <c r="NT197" s="168" t="s">
        <v>771</v>
      </c>
      <c r="NU197" s="168">
        <v>7701</v>
      </c>
      <c r="NV197" s="168" t="s">
        <v>2104</v>
      </c>
      <c r="NW197" s="168" t="s">
        <v>28</v>
      </c>
      <c r="NX197" s="168" t="s">
        <v>25</v>
      </c>
      <c r="NY197" s="169">
        <v>42825</v>
      </c>
      <c r="NZ197" s="169">
        <v>42460</v>
      </c>
      <c r="OA197" s="169">
        <v>43010</v>
      </c>
      <c r="OB197" s="168" t="s">
        <v>1506</v>
      </c>
      <c r="OC197" s="168">
        <v>12</v>
      </c>
      <c r="OD197" s="168" t="s">
        <v>2105</v>
      </c>
      <c r="OE197" s="168" t="s">
        <v>2347</v>
      </c>
      <c r="OF197" s="168" t="s">
        <v>2596</v>
      </c>
      <c r="OG197" s="168" t="s">
        <v>2057</v>
      </c>
      <c r="OH197" s="168" t="s">
        <v>972</v>
      </c>
      <c r="OI197" s="168" t="s">
        <v>766</v>
      </c>
      <c r="OJ197" s="168" t="s">
        <v>3240</v>
      </c>
      <c r="OK197" s="168" t="s">
        <v>801</v>
      </c>
    </row>
    <row r="198" spans="1:401" x14ac:dyDescent="0.2">
      <c r="A198" s="170" t="str">
        <f>Liste[[#This Row],[Siren]]</f>
        <v>306474610</v>
      </c>
      <c r="B198" s="198" t="str">
        <f>Liste[[#This Row],[Dénomination]]&amp;" - comptes "&amp;YEAR(Liste[[#This Row],[Date de cloture de l''exercice]])</f>
        <v>SA PERRIN VERMOT - comptes 2017</v>
      </c>
      <c r="C198" s="21"/>
      <c r="D198" s="21"/>
      <c r="E198" s="21"/>
      <c r="F198" s="168">
        <v>2035838</v>
      </c>
      <c r="G198" s="168">
        <v>1426223</v>
      </c>
      <c r="H198" s="21"/>
      <c r="I198" s="21"/>
      <c r="J198" s="168">
        <v>413377</v>
      </c>
      <c r="K198" s="168">
        <v>564141</v>
      </c>
      <c r="L198" s="21"/>
      <c r="M198" s="21"/>
      <c r="N198" s="168">
        <v>73716</v>
      </c>
      <c r="O198" s="168">
        <v>50308</v>
      </c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168">
        <v>14873</v>
      </c>
      <c r="AA198" s="168">
        <v>14873</v>
      </c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168">
        <v>80785</v>
      </c>
      <c r="AW198" s="168">
        <v>83159</v>
      </c>
      <c r="AX198" s="21"/>
      <c r="AY198" s="21"/>
      <c r="AZ198" s="168">
        <v>218101</v>
      </c>
      <c r="BA198" s="168">
        <v>194903</v>
      </c>
      <c r="BB198" s="21"/>
      <c r="BC198" s="21"/>
      <c r="BD198" s="168">
        <v>1116610</v>
      </c>
      <c r="BE198" s="168">
        <v>1186061</v>
      </c>
      <c r="BF198" s="21"/>
      <c r="BG198" s="21"/>
      <c r="BH198" s="168">
        <v>135365</v>
      </c>
      <c r="BI198" s="168">
        <v>131968</v>
      </c>
      <c r="BJ198" s="21"/>
      <c r="BK198" s="21"/>
      <c r="BL198" s="168">
        <v>4038686</v>
      </c>
      <c r="BM198" s="168">
        <v>4491769</v>
      </c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168">
        <v>70953</v>
      </c>
      <c r="BY198" s="168">
        <v>123570</v>
      </c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168">
        <v>30000</v>
      </c>
      <c r="CR198" s="168">
        <v>32500</v>
      </c>
      <c r="CS198" s="21"/>
      <c r="CT198" s="21"/>
      <c r="CU198" s="168">
        <v>473000</v>
      </c>
      <c r="CV198" s="168">
        <v>382200</v>
      </c>
      <c r="CW198" s="21"/>
      <c r="CX198" s="21"/>
      <c r="CY198" s="21"/>
      <c r="CZ198" s="21"/>
      <c r="DA198" s="21"/>
      <c r="DB198" s="21"/>
      <c r="DC198" s="168">
        <v>1585143</v>
      </c>
      <c r="DD198" s="168">
        <v>424693</v>
      </c>
      <c r="DE198" s="21"/>
      <c r="DF198" s="21"/>
      <c r="DG198" s="168">
        <v>1828441</v>
      </c>
      <c r="DH198" s="168">
        <v>1919493</v>
      </c>
      <c r="DI198" s="21"/>
      <c r="DJ198" s="21"/>
      <c r="DK198" s="168">
        <v>53595</v>
      </c>
      <c r="DL198" s="168">
        <v>125748</v>
      </c>
      <c r="DM198" s="21"/>
      <c r="DN198" s="21"/>
      <c r="DO198" s="168">
        <v>1060271</v>
      </c>
      <c r="DP198" s="168">
        <v>1046449</v>
      </c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168">
        <v>6204266</v>
      </c>
      <c r="EE198" s="168">
        <v>7498995</v>
      </c>
      <c r="EF198" s="21"/>
      <c r="EG198" s="21"/>
      <c r="EH198" s="21"/>
      <c r="EI198" s="21"/>
      <c r="EJ198" s="21"/>
      <c r="EK198" s="21"/>
      <c r="EL198" s="168">
        <v>8747427</v>
      </c>
      <c r="EM198" s="168">
        <v>8163166</v>
      </c>
      <c r="EN198" s="21"/>
      <c r="EO198" s="21"/>
      <c r="EP198" s="168">
        <v>10759634</v>
      </c>
      <c r="EQ198" s="168">
        <v>11601949</v>
      </c>
      <c r="ER198" s="21"/>
      <c r="ES198" s="21"/>
      <c r="ET198" s="168">
        <v>19587846</v>
      </c>
      <c r="EU198" s="168">
        <v>19848275</v>
      </c>
      <c r="EV198" s="21"/>
      <c r="EW198" s="21"/>
      <c r="EX198" s="168">
        <v>154826</v>
      </c>
      <c r="EY198" s="168">
        <v>151221</v>
      </c>
      <c r="EZ198" s="21"/>
      <c r="FA198" s="21"/>
      <c r="FB198" s="21"/>
      <c r="FC198" s="21"/>
      <c r="FD198" s="21"/>
      <c r="FE198" s="21"/>
      <c r="FF198" s="21"/>
      <c r="FG198" s="21"/>
      <c r="FH198" s="21"/>
      <c r="FI198" s="168">
        <v>-23680</v>
      </c>
      <c r="FJ198" s="168">
        <v>94267</v>
      </c>
      <c r="FK198" s="21"/>
      <c r="FL198" s="21"/>
      <c r="FM198" s="168">
        <v>200672</v>
      </c>
      <c r="FN198" s="168">
        <v>32749</v>
      </c>
      <c r="FO198" s="168">
        <v>4733</v>
      </c>
      <c r="FP198" s="168">
        <v>106312</v>
      </c>
      <c r="FQ198" s="21"/>
      <c r="FR198" s="21"/>
      <c r="FS198" s="21"/>
      <c r="FT198" s="21"/>
      <c r="FU198" s="21"/>
      <c r="FV198" s="21"/>
      <c r="FW198" s="168">
        <v>-119627</v>
      </c>
      <c r="FX198" s="168">
        <v>-106292</v>
      </c>
      <c r="FY198" s="168">
        <v>8023</v>
      </c>
      <c r="FZ198" s="168">
        <v>9507</v>
      </c>
      <c r="GA198" s="21"/>
      <c r="GB198" s="21"/>
      <c r="GC198" s="168">
        <v>120519</v>
      </c>
      <c r="GD198" s="168">
        <v>28078</v>
      </c>
      <c r="GE198" s="168">
        <v>61206</v>
      </c>
      <c r="GF198" s="168">
        <v>205250</v>
      </c>
      <c r="GG198" s="21"/>
      <c r="GH198" s="21"/>
      <c r="GI198" s="21"/>
      <c r="GJ198" s="21"/>
      <c r="GK198" s="21"/>
      <c r="GL198" s="21"/>
      <c r="GM198" s="168">
        <v>521483</v>
      </c>
      <c r="GN198" s="168">
        <v>430744</v>
      </c>
      <c r="GO198" s="168">
        <v>521483</v>
      </c>
      <c r="GP198" s="168">
        <v>430744</v>
      </c>
      <c r="GQ198" s="21"/>
      <c r="GR198" s="21"/>
      <c r="GS198" s="168">
        <v>513460</v>
      </c>
      <c r="GT198" s="168">
        <v>421237</v>
      </c>
      <c r="GU198" s="168">
        <v>205405</v>
      </c>
      <c r="GV198" s="168">
        <v>139061</v>
      </c>
      <c r="GW198" s="168">
        <v>181725</v>
      </c>
      <c r="GX198" s="168">
        <v>233328</v>
      </c>
      <c r="GY198" s="168">
        <v>1285738</v>
      </c>
      <c r="GZ198" s="168">
        <v>1393984</v>
      </c>
      <c r="HA198" s="168">
        <v>18371368</v>
      </c>
      <c r="HB198" s="168">
        <v>19352966</v>
      </c>
      <c r="HC198" s="168">
        <v>5695233</v>
      </c>
      <c r="HD198" s="168">
        <v>5297134</v>
      </c>
      <c r="HE198" s="168">
        <v>42321</v>
      </c>
      <c r="HF198" s="168">
        <v>47162</v>
      </c>
      <c r="HG198" s="168">
        <v>135</v>
      </c>
      <c r="HH198" s="168">
        <v>155</v>
      </c>
      <c r="HI198" s="168">
        <v>40082</v>
      </c>
      <c r="HJ198" s="168">
        <v>75269</v>
      </c>
      <c r="HK198" s="21"/>
      <c r="HL198" s="21"/>
      <c r="HM198" s="21"/>
      <c r="HN198" s="21"/>
      <c r="HO198" s="168">
        <v>1660621</v>
      </c>
      <c r="HP198" s="168">
        <v>1649409</v>
      </c>
      <c r="HQ198" s="168">
        <v>7</v>
      </c>
      <c r="HR198" s="168">
        <v>1419</v>
      </c>
      <c r="HS198" s="168">
        <v>50</v>
      </c>
      <c r="HT198" s="168">
        <v>247</v>
      </c>
      <c r="HU198" s="168">
        <v>1264582</v>
      </c>
      <c r="HV198" s="168">
        <v>1360197</v>
      </c>
      <c r="HW198" s="21"/>
      <c r="HX198" s="21"/>
      <c r="HY198" s="168">
        <v>30732</v>
      </c>
      <c r="HZ198" s="168">
        <v>568</v>
      </c>
      <c r="IA198" s="21"/>
      <c r="IB198" s="168">
        <v>69468</v>
      </c>
      <c r="IC198" s="21"/>
      <c r="ID198" s="21"/>
      <c r="IE198" s="168">
        <v>434917</v>
      </c>
      <c r="IF198" s="168">
        <v>427049</v>
      </c>
      <c r="IG198" s="168">
        <v>626511</v>
      </c>
      <c r="IH198" s="168">
        <v>637452</v>
      </c>
      <c r="II198" s="21"/>
      <c r="IJ198" s="21"/>
      <c r="IK198" s="168">
        <v>221925</v>
      </c>
      <c r="IL198" s="168">
        <v>201240</v>
      </c>
      <c r="IM198" s="168">
        <v>-1365674</v>
      </c>
      <c r="IN198" s="168">
        <v>1858226</v>
      </c>
      <c r="IO198" s="168">
        <v>69</v>
      </c>
      <c r="IP198" s="21"/>
      <c r="IQ198" s="21"/>
      <c r="IR198" s="21"/>
      <c r="IS198" s="21"/>
      <c r="IT198" s="21"/>
      <c r="IU198" s="168">
        <v>425536</v>
      </c>
      <c r="IV198" s="168">
        <v>230185</v>
      </c>
      <c r="IW198" s="168">
        <v>1051800</v>
      </c>
      <c r="IX198" s="168">
        <v>868654</v>
      </c>
      <c r="IY198" s="168">
        <v>-626264</v>
      </c>
      <c r="IZ198" s="168">
        <v>-638469</v>
      </c>
      <c r="JA198" s="168">
        <v>593736</v>
      </c>
      <c r="JB198" s="168">
        <v>81470</v>
      </c>
      <c r="JC198" s="21"/>
      <c r="JD198" s="21"/>
      <c r="JE198" s="168">
        <v>4620270</v>
      </c>
      <c r="JF198" s="168">
        <v>4335212</v>
      </c>
      <c r="JG198" s="168">
        <v>14000</v>
      </c>
      <c r="JH198" s="168">
        <v>35600</v>
      </c>
      <c r="JI198" s="168">
        <v>33479582</v>
      </c>
      <c r="JJ198" s="168">
        <v>33778677</v>
      </c>
      <c r="JK198" s="168">
        <v>626518</v>
      </c>
      <c r="JL198" s="168">
        <v>638871</v>
      </c>
      <c r="JM198" s="168">
        <v>-495931</v>
      </c>
      <c r="JN198" s="168">
        <v>2251805</v>
      </c>
      <c r="JO198" s="168">
        <v>254</v>
      </c>
      <c r="JP198" s="168">
        <v>402</v>
      </c>
      <c r="JQ198" s="168">
        <v>61208</v>
      </c>
      <c r="JR198" s="168">
        <v>-122354</v>
      </c>
      <c r="JS198" s="168">
        <v>12592</v>
      </c>
      <c r="JT198" s="168">
        <v>-32118</v>
      </c>
      <c r="JU198" s="21"/>
      <c r="JV198" s="21"/>
      <c r="JW198" s="168">
        <v>35027313</v>
      </c>
      <c r="JX198" s="168">
        <v>32395526</v>
      </c>
      <c r="JY198" s="21"/>
      <c r="JZ198" s="21"/>
      <c r="KA198" s="21"/>
      <c r="KB198" s="21"/>
      <c r="KC198" s="21"/>
      <c r="KD198" s="21"/>
      <c r="KE198" s="21"/>
      <c r="KF198" s="21"/>
      <c r="KG198" s="21"/>
      <c r="KH198" s="21"/>
      <c r="KI198" s="21"/>
      <c r="KJ198" s="21"/>
      <c r="KK198" s="21"/>
      <c r="KL198" s="21"/>
      <c r="KM198" s="21"/>
      <c r="KN198" s="21"/>
      <c r="KO198" s="21"/>
      <c r="KP198" s="21"/>
      <c r="KQ198" s="168">
        <v>71627</v>
      </c>
      <c r="KR198" s="168">
        <v>74505</v>
      </c>
      <c r="KS198" s="21"/>
      <c r="KT198" s="21"/>
      <c r="KU198" s="21"/>
      <c r="KV198" s="21"/>
      <c r="KW198" s="21"/>
      <c r="KX198" s="21"/>
      <c r="KY198" s="168">
        <v>325927</v>
      </c>
      <c r="KZ198" s="168">
        <v>273580</v>
      </c>
      <c r="LA198" s="168">
        <v>452362</v>
      </c>
      <c r="LB198" s="168">
        <v>452362</v>
      </c>
      <c r="LC198" s="21"/>
      <c r="LD198" s="21"/>
      <c r="LE198" s="168">
        <v>8023</v>
      </c>
      <c r="LF198" s="168">
        <v>9507</v>
      </c>
      <c r="LG198" s="21"/>
      <c r="LH198" s="21"/>
      <c r="LI198" s="168">
        <v>1709406</v>
      </c>
      <c r="LJ198" s="168">
        <v>2033409</v>
      </c>
      <c r="LK198" s="168">
        <v>5246602</v>
      </c>
      <c r="LL198" s="168">
        <v>5515915</v>
      </c>
      <c r="LM198" s="21"/>
      <c r="LN198" s="21"/>
      <c r="LO198" s="21"/>
      <c r="LP198" s="21"/>
      <c r="LQ198" s="21"/>
      <c r="LR198" s="21"/>
      <c r="LS198" s="21"/>
      <c r="LT198" s="21"/>
      <c r="LU198" s="21"/>
      <c r="LV198" s="21"/>
      <c r="LW198" s="21"/>
      <c r="LX198" s="21"/>
      <c r="LY198" s="21"/>
      <c r="LZ198" s="21"/>
      <c r="MA198" s="168">
        <v>2561943</v>
      </c>
      <c r="MB198" s="168">
        <v>2701912</v>
      </c>
      <c r="MC198" s="168">
        <v>5294060</v>
      </c>
      <c r="MD198" s="168">
        <v>5361186</v>
      </c>
      <c r="ME198" s="168">
        <v>3045000</v>
      </c>
      <c r="MF198" s="168">
        <v>3045500</v>
      </c>
      <c r="MG198" s="21"/>
      <c r="MH198" s="21"/>
      <c r="MI198" s="168">
        <v>239771</v>
      </c>
      <c r="MJ198" s="168">
        <v>239771</v>
      </c>
      <c r="MK198" s="21"/>
      <c r="ML198" s="21"/>
      <c r="MM198" s="168">
        <v>359930</v>
      </c>
      <c r="MN198" s="168">
        <v>421136</v>
      </c>
      <c r="MO198" s="168">
        <v>357504</v>
      </c>
      <c r="MP198" s="168">
        <v>334772</v>
      </c>
      <c r="MQ198" s="168">
        <v>8000</v>
      </c>
      <c r="MR198" s="21"/>
      <c r="MS198" s="21"/>
      <c r="MT198" s="21"/>
      <c r="MU198" s="21"/>
      <c r="MV198" s="21"/>
      <c r="MW198" s="21"/>
      <c r="MX198" s="21"/>
      <c r="MY198" s="21"/>
      <c r="MZ198" s="21"/>
      <c r="NA198" s="21"/>
      <c r="NB198" s="21"/>
      <c r="NC198" s="168">
        <v>513461</v>
      </c>
      <c r="ND198" s="168">
        <v>421238</v>
      </c>
      <c r="NE198" s="21"/>
      <c r="NF198" s="21"/>
      <c r="NG198" s="168">
        <v>575258</v>
      </c>
      <c r="NH198" s="168">
        <v>61796</v>
      </c>
      <c r="NI198" s="21"/>
      <c r="NJ198" s="21"/>
      <c r="NK198" s="168">
        <v>32589</v>
      </c>
      <c r="NL198" s="168">
        <v>24564</v>
      </c>
      <c r="NM198" s="168">
        <v>18614495</v>
      </c>
      <c r="NN198" s="168">
        <v>19427143</v>
      </c>
      <c r="NO198" s="168">
        <v>19587846</v>
      </c>
      <c r="NP198" s="168">
        <v>19848275</v>
      </c>
      <c r="NQ198" s="168" t="s">
        <v>1386</v>
      </c>
      <c r="NR198" s="168" t="s">
        <v>984</v>
      </c>
      <c r="NS198" s="168" t="s">
        <v>770</v>
      </c>
      <c r="NT198" s="168" t="s">
        <v>771</v>
      </c>
      <c r="NU198" s="168">
        <v>2501</v>
      </c>
      <c r="NV198" s="168" t="s">
        <v>2104</v>
      </c>
      <c r="NW198" s="168" t="s">
        <v>28</v>
      </c>
      <c r="NX198" s="168" t="s">
        <v>25</v>
      </c>
      <c r="NY198" s="169">
        <v>42825</v>
      </c>
      <c r="NZ198" s="169">
        <v>42460</v>
      </c>
      <c r="OA198" s="169">
        <v>43010</v>
      </c>
      <c r="OB198" s="168" t="s">
        <v>1387</v>
      </c>
      <c r="OC198" s="168">
        <v>12</v>
      </c>
      <c r="OD198" s="168" t="s">
        <v>2105</v>
      </c>
      <c r="OE198" s="168" t="s">
        <v>2332</v>
      </c>
      <c r="OF198" s="168" t="s">
        <v>2114</v>
      </c>
      <c r="OG198" s="168" t="s">
        <v>1998</v>
      </c>
      <c r="OH198" s="168" t="s">
        <v>923</v>
      </c>
      <c r="OI198" s="168" t="s">
        <v>766</v>
      </c>
      <c r="OJ198" s="168" t="s">
        <v>3240</v>
      </c>
      <c r="OK198" s="168" t="s">
        <v>983</v>
      </c>
    </row>
    <row r="199" spans="1:401" x14ac:dyDescent="0.2">
      <c r="A199" s="170" t="str">
        <f>Liste[[#This Row],[Siren]]</f>
        <v>353847734</v>
      </c>
      <c r="B199" s="198" t="str">
        <f>Liste[[#This Row],[Dénomination]]&amp;" - comptes "&amp;YEAR(Liste[[#This Row],[Date de cloture de l''exercice]])</f>
        <v>AMP FINANCIERE - comptes 2017</v>
      </c>
      <c r="C199" s="21"/>
      <c r="D199" s="21"/>
      <c r="E199" s="21"/>
      <c r="F199" s="168">
        <v>1260610</v>
      </c>
      <c r="G199" s="168">
        <v>1282808</v>
      </c>
      <c r="H199" s="168">
        <v>1260610</v>
      </c>
      <c r="I199" s="168">
        <v>1287946</v>
      </c>
      <c r="J199" s="168">
        <v>311218</v>
      </c>
      <c r="K199" s="168">
        <v>355190</v>
      </c>
      <c r="L199" s="168">
        <v>1599165</v>
      </c>
      <c r="M199" s="21"/>
      <c r="N199" s="168">
        <v>120857</v>
      </c>
      <c r="O199" s="168">
        <v>120842</v>
      </c>
      <c r="P199" s="168">
        <v>120857</v>
      </c>
      <c r="Q199" s="21"/>
      <c r="R199" s="21"/>
      <c r="S199" s="21"/>
      <c r="T199" s="21"/>
      <c r="U199" s="21"/>
      <c r="V199" s="168">
        <v>2801</v>
      </c>
      <c r="W199" s="168">
        <v>2101</v>
      </c>
      <c r="X199" s="168">
        <v>2801</v>
      </c>
      <c r="Y199" s="21"/>
      <c r="Z199" s="168">
        <v>1039</v>
      </c>
      <c r="AA199" s="168">
        <v>1039</v>
      </c>
      <c r="AB199" s="168">
        <v>1039</v>
      </c>
      <c r="AC199" s="21"/>
      <c r="AD199" s="21"/>
      <c r="AE199" s="21"/>
      <c r="AF199" s="21"/>
      <c r="AG199" s="21"/>
      <c r="AH199" s="21"/>
      <c r="AI199" s="21"/>
      <c r="AJ199" s="21"/>
      <c r="AK199" s="21"/>
      <c r="AL199" s="168">
        <v>63019</v>
      </c>
      <c r="AM199" s="168">
        <v>137523</v>
      </c>
      <c r="AN199" s="168">
        <v>63019</v>
      </c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168">
        <v>199399</v>
      </c>
      <c r="BA199" s="168">
        <v>430985</v>
      </c>
      <c r="BB199" s="168">
        <v>199399</v>
      </c>
      <c r="BC199" s="168">
        <v>229946</v>
      </c>
      <c r="BD199" s="168">
        <v>4846352</v>
      </c>
      <c r="BE199" s="168">
        <v>4906453</v>
      </c>
      <c r="BF199" s="168">
        <v>5076298</v>
      </c>
      <c r="BG199" s="168">
        <v>45545</v>
      </c>
      <c r="BH199" s="21"/>
      <c r="BI199" s="21"/>
      <c r="BJ199" s="168">
        <v>45545</v>
      </c>
      <c r="BK199" s="168">
        <v>112864</v>
      </c>
      <c r="BL199" s="21"/>
      <c r="BM199" s="21"/>
      <c r="BN199" s="168">
        <v>112864</v>
      </c>
      <c r="BO199" s="21"/>
      <c r="BP199" s="21"/>
      <c r="BQ199" s="21"/>
      <c r="BR199" s="21"/>
      <c r="BS199" s="21"/>
      <c r="BT199" s="21"/>
      <c r="BU199" s="21"/>
      <c r="BV199" s="21"/>
      <c r="BW199" s="21"/>
      <c r="BX199" s="168">
        <v>4571119</v>
      </c>
      <c r="BY199" s="168">
        <v>2900493</v>
      </c>
      <c r="BZ199" s="168">
        <v>4571119</v>
      </c>
      <c r="CA199" s="21"/>
      <c r="CB199" s="21"/>
      <c r="CC199" s="21"/>
      <c r="CD199" s="21"/>
      <c r="CE199" s="21"/>
      <c r="CF199" s="21"/>
      <c r="CG199" s="21"/>
      <c r="CH199" s="21"/>
      <c r="CI199" s="168">
        <v>106498</v>
      </c>
      <c r="CJ199" s="168">
        <v>121682</v>
      </c>
      <c r="CK199" s="168">
        <v>106498</v>
      </c>
      <c r="CL199" s="21"/>
      <c r="CM199" s="21"/>
      <c r="CN199" s="21"/>
      <c r="CO199" s="21"/>
      <c r="CP199" s="21"/>
      <c r="CQ199" s="168">
        <v>39986</v>
      </c>
      <c r="CR199" s="168">
        <v>39986</v>
      </c>
      <c r="CS199" s="168">
        <v>39986</v>
      </c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168">
        <v>2023517</v>
      </c>
      <c r="DG199" s="168">
        <v>799207</v>
      </c>
      <c r="DH199" s="168">
        <v>949730</v>
      </c>
      <c r="DI199" s="168">
        <v>2822725</v>
      </c>
      <c r="DJ199" s="168">
        <v>1256712</v>
      </c>
      <c r="DK199" s="168">
        <v>10879342</v>
      </c>
      <c r="DL199" s="168">
        <v>10002677</v>
      </c>
      <c r="DM199" s="168">
        <v>12136054</v>
      </c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168">
        <v>3487645</v>
      </c>
      <c r="EL199" s="168">
        <v>1349370</v>
      </c>
      <c r="EM199" s="168">
        <v>1550149</v>
      </c>
      <c r="EN199" s="168">
        <v>4837016</v>
      </c>
      <c r="EO199" s="168">
        <v>1486658</v>
      </c>
      <c r="EP199" s="168">
        <v>21926340</v>
      </c>
      <c r="EQ199" s="168">
        <v>19782621</v>
      </c>
      <c r="ER199" s="168">
        <v>23412997</v>
      </c>
      <c r="ES199" s="168">
        <v>4974303</v>
      </c>
      <c r="ET199" s="168">
        <v>23275710</v>
      </c>
      <c r="EU199" s="168">
        <v>21332770</v>
      </c>
      <c r="EV199" s="168">
        <v>28250013</v>
      </c>
      <c r="EW199" s="168">
        <v>17773</v>
      </c>
      <c r="EX199" s="168">
        <v>74261</v>
      </c>
      <c r="EY199" s="168">
        <v>81261</v>
      </c>
      <c r="EZ199" s="168">
        <v>92034</v>
      </c>
      <c r="FA199" s="21"/>
      <c r="FB199" s="21"/>
      <c r="FC199" s="21"/>
      <c r="FD199" s="21"/>
      <c r="FE199" s="21"/>
      <c r="FF199" s="21"/>
      <c r="FG199" s="21"/>
      <c r="FH199" s="21"/>
      <c r="FI199" s="168">
        <v>465408</v>
      </c>
      <c r="FJ199" s="168">
        <v>1311366</v>
      </c>
      <c r="FK199" s="21"/>
      <c r="FL199" s="21"/>
      <c r="FM199" s="168">
        <v>197646</v>
      </c>
      <c r="FN199" s="168">
        <v>10169</v>
      </c>
      <c r="FO199" s="168">
        <v>125023</v>
      </c>
      <c r="FP199" s="168">
        <v>1825556</v>
      </c>
      <c r="FQ199" s="21"/>
      <c r="FR199" s="21"/>
      <c r="FS199" s="21"/>
      <c r="FT199" s="21"/>
      <c r="FU199" s="21"/>
      <c r="FV199" s="21"/>
      <c r="FW199" s="168">
        <v>360879</v>
      </c>
      <c r="FX199" s="168">
        <v>360994</v>
      </c>
      <c r="FY199" s="168">
        <v>278</v>
      </c>
      <c r="FZ199" s="168">
        <v>167</v>
      </c>
      <c r="GA199" s="21"/>
      <c r="GB199" s="21"/>
      <c r="GC199" s="168">
        <v>59390</v>
      </c>
      <c r="GD199" s="168">
        <v>56030</v>
      </c>
      <c r="GE199" s="168">
        <v>521086</v>
      </c>
      <c r="GF199" s="168">
        <v>3091061</v>
      </c>
      <c r="GG199" s="21"/>
      <c r="GH199" s="21"/>
      <c r="GI199" s="21"/>
      <c r="GJ199" s="21"/>
      <c r="GK199" s="168">
        <v>207600</v>
      </c>
      <c r="GL199" s="21"/>
      <c r="GM199" s="168">
        <v>992698</v>
      </c>
      <c r="GN199" s="168">
        <v>878507</v>
      </c>
      <c r="GO199" s="168">
        <v>992698</v>
      </c>
      <c r="GP199" s="168">
        <v>878507</v>
      </c>
      <c r="GQ199" s="21"/>
      <c r="GR199" s="21"/>
      <c r="GS199" s="168">
        <v>992420</v>
      </c>
      <c r="GT199" s="168">
        <v>878340</v>
      </c>
      <c r="GU199" s="168">
        <v>322669</v>
      </c>
      <c r="GV199" s="168">
        <v>1835725</v>
      </c>
      <c r="GW199" s="168">
        <v>788077</v>
      </c>
      <c r="GX199" s="168">
        <v>3147091</v>
      </c>
      <c r="GY199" s="168">
        <v>41240813</v>
      </c>
      <c r="GZ199" s="168">
        <v>33371923</v>
      </c>
      <c r="HA199" s="168">
        <v>70561</v>
      </c>
      <c r="HB199" s="168">
        <v>51563</v>
      </c>
      <c r="HC199" s="168">
        <v>3943651</v>
      </c>
      <c r="HD199" s="168">
        <v>4213309</v>
      </c>
      <c r="HE199" s="168">
        <v>172128</v>
      </c>
      <c r="HF199" s="168">
        <v>6625</v>
      </c>
      <c r="HG199" s="168">
        <v>347544</v>
      </c>
      <c r="HH199" s="168">
        <v>322622</v>
      </c>
      <c r="HI199" s="168">
        <v>19661</v>
      </c>
      <c r="HJ199" s="168">
        <v>21323</v>
      </c>
      <c r="HK199" s="21"/>
      <c r="HL199" s="21"/>
      <c r="HM199" s="21"/>
      <c r="HN199" s="21"/>
      <c r="HO199" s="168">
        <v>1188638</v>
      </c>
      <c r="HP199" s="168">
        <v>1097162</v>
      </c>
      <c r="HQ199" s="21"/>
      <c r="HR199" s="21"/>
      <c r="HS199" s="168">
        <v>24</v>
      </c>
      <c r="HT199" s="21"/>
      <c r="HU199" s="168">
        <v>912205</v>
      </c>
      <c r="HV199" s="168">
        <v>883029</v>
      </c>
      <c r="HW199" s="21"/>
      <c r="HX199" s="21"/>
      <c r="HY199" s="168">
        <v>756232</v>
      </c>
      <c r="HZ199" s="168">
        <v>656439</v>
      </c>
      <c r="IA199" s="168">
        <v>946949</v>
      </c>
      <c r="IB199" s="168">
        <v>442366</v>
      </c>
      <c r="IC199" s="21"/>
      <c r="ID199" s="21"/>
      <c r="IE199" s="168">
        <v>302009</v>
      </c>
      <c r="IF199" s="168">
        <v>264934</v>
      </c>
      <c r="IG199" s="168">
        <v>34508</v>
      </c>
      <c r="IH199" s="168">
        <v>6232</v>
      </c>
      <c r="II199" s="21"/>
      <c r="IJ199" s="21"/>
      <c r="IK199" s="21"/>
      <c r="IL199" s="21"/>
      <c r="IM199" s="168">
        <v>-15184</v>
      </c>
      <c r="IN199" s="168">
        <v>27266</v>
      </c>
      <c r="IO199" s="21"/>
      <c r="IP199" s="21"/>
      <c r="IQ199" s="168">
        <v>2</v>
      </c>
      <c r="IR199" s="168">
        <v>3</v>
      </c>
      <c r="IS199" s="21"/>
      <c r="IT199" s="21"/>
      <c r="IU199" s="168">
        <v>888174</v>
      </c>
      <c r="IV199" s="168">
        <v>-71866</v>
      </c>
      <c r="IW199" s="168">
        <v>575112</v>
      </c>
      <c r="IX199" s="168">
        <v>-388259</v>
      </c>
      <c r="IY199" s="168">
        <v>313062</v>
      </c>
      <c r="IZ199" s="168">
        <v>316393</v>
      </c>
      <c r="JA199" s="168">
        <v>2026317</v>
      </c>
      <c r="JB199" s="168">
        <v>1444518</v>
      </c>
      <c r="JC199" s="21"/>
      <c r="JD199" s="21"/>
      <c r="JE199" s="168">
        <v>3179058</v>
      </c>
      <c r="JF199" s="168">
        <v>2925937</v>
      </c>
      <c r="JG199" s="21"/>
      <c r="JH199" s="21"/>
      <c r="JI199" s="168">
        <v>52054852</v>
      </c>
      <c r="JJ199" s="168">
        <v>40736837</v>
      </c>
      <c r="JK199" s="168">
        <v>34508</v>
      </c>
      <c r="JL199" s="168">
        <v>6232</v>
      </c>
      <c r="JM199" s="168">
        <v>52629964</v>
      </c>
      <c r="JN199" s="168">
        <v>40348578</v>
      </c>
      <c r="JO199" s="168">
        <v>347570</v>
      </c>
      <c r="JP199" s="168">
        <v>322625</v>
      </c>
      <c r="JQ199" s="168">
        <v>-657392</v>
      </c>
      <c r="JR199" s="168">
        <v>-3176450</v>
      </c>
      <c r="JS199" s="21"/>
      <c r="JT199" s="21"/>
      <c r="JU199" s="21"/>
      <c r="JV199" s="21"/>
      <c r="JW199" s="168">
        <v>50599170</v>
      </c>
      <c r="JX199" s="168">
        <v>38855471</v>
      </c>
      <c r="JY199" s="21"/>
      <c r="JZ199" s="21"/>
      <c r="KA199" s="21"/>
      <c r="KB199" s="21"/>
      <c r="KC199" s="21"/>
      <c r="KD199" s="21"/>
      <c r="KE199" s="168">
        <v>5646180</v>
      </c>
      <c r="KF199" s="168">
        <v>5071022</v>
      </c>
      <c r="KG199" s="21"/>
      <c r="KH199" s="21"/>
      <c r="KI199" s="168">
        <v>44952990</v>
      </c>
      <c r="KJ199" s="168">
        <v>33784449</v>
      </c>
      <c r="KK199" s="21"/>
      <c r="KL199" s="21"/>
      <c r="KM199" s="21"/>
      <c r="KN199" s="21"/>
      <c r="KO199" s="21"/>
      <c r="KP199" s="21"/>
      <c r="KQ199" s="168">
        <v>129043</v>
      </c>
      <c r="KR199" s="168">
        <v>70748</v>
      </c>
      <c r="KS199" s="21"/>
      <c r="KT199" s="21"/>
      <c r="KU199" s="168">
        <v>4183483</v>
      </c>
      <c r="KV199" s="168">
        <v>3520736</v>
      </c>
      <c r="KW199" s="21"/>
      <c r="KX199" s="21"/>
      <c r="KY199" s="168">
        <v>768533</v>
      </c>
      <c r="KZ199" s="168">
        <v>490801</v>
      </c>
      <c r="LA199" s="168">
        <v>1871800</v>
      </c>
      <c r="LB199" s="168">
        <v>1871800</v>
      </c>
      <c r="LC199" s="168">
        <v>16545</v>
      </c>
      <c r="LD199" s="168">
        <v>1378</v>
      </c>
      <c r="LE199" s="168">
        <v>278</v>
      </c>
      <c r="LF199" s="168">
        <v>167</v>
      </c>
      <c r="LG199" s="21"/>
      <c r="LH199" s="21"/>
      <c r="LI199" s="168">
        <v>1384220</v>
      </c>
      <c r="LJ199" s="168">
        <v>966960</v>
      </c>
      <c r="LK199" s="168">
        <v>5812727</v>
      </c>
      <c r="LL199" s="168">
        <v>6301610</v>
      </c>
      <c r="LM199" s="21"/>
      <c r="LN199" s="21"/>
      <c r="LO199" s="21"/>
      <c r="LP199" s="21"/>
      <c r="LQ199" s="21"/>
      <c r="LR199" s="21"/>
      <c r="LS199" s="21"/>
      <c r="LT199" s="21"/>
      <c r="LU199" s="21"/>
      <c r="LV199" s="21"/>
      <c r="LW199" s="21"/>
      <c r="LX199" s="21"/>
      <c r="LY199" s="21"/>
      <c r="LZ199" s="21"/>
      <c r="MA199" s="168">
        <v>1104065</v>
      </c>
      <c r="MB199" s="168">
        <v>384614</v>
      </c>
      <c r="MC199" s="168">
        <v>238772</v>
      </c>
      <c r="MD199" s="168">
        <v>92346</v>
      </c>
      <c r="ME199" s="21"/>
      <c r="MF199" s="21"/>
      <c r="MG199" s="21"/>
      <c r="MH199" s="21"/>
      <c r="MI199" s="168">
        <v>934984</v>
      </c>
      <c r="MJ199" s="168">
        <v>934984</v>
      </c>
      <c r="MK199" s="21"/>
      <c r="ML199" s="21"/>
      <c r="MM199" s="168">
        <v>28242</v>
      </c>
      <c r="MN199" s="168">
        <v>62420</v>
      </c>
      <c r="MO199" s="168">
        <v>202057</v>
      </c>
      <c r="MP199" s="168">
        <v>194568</v>
      </c>
      <c r="MQ199" s="168">
        <v>835317</v>
      </c>
      <c r="MR199" s="168">
        <v>718414</v>
      </c>
      <c r="MS199" s="21"/>
      <c r="MT199" s="21"/>
      <c r="MU199" s="21"/>
      <c r="MV199" s="21"/>
      <c r="MW199" s="168">
        <v>210000</v>
      </c>
      <c r="MX199" s="168">
        <v>210000</v>
      </c>
      <c r="MY199" s="21"/>
      <c r="MZ199" s="21"/>
      <c r="NA199" s="168">
        <v>4493539</v>
      </c>
      <c r="NB199" s="168">
        <v>4566950</v>
      </c>
      <c r="NC199" s="168">
        <v>992420</v>
      </c>
      <c r="ND199" s="168">
        <v>878340</v>
      </c>
      <c r="NE199" s="21"/>
      <c r="NF199" s="21"/>
      <c r="NG199" s="168">
        <v>12686226</v>
      </c>
      <c r="NH199" s="168">
        <v>11982810</v>
      </c>
      <c r="NI199" s="21"/>
      <c r="NJ199" s="21"/>
      <c r="NK199" s="168">
        <v>16823</v>
      </c>
      <c r="NL199" s="168">
        <v>1545</v>
      </c>
      <c r="NM199" s="168">
        <v>9535287</v>
      </c>
      <c r="NN199" s="168">
        <v>8435433</v>
      </c>
      <c r="NO199" s="168">
        <v>23275710</v>
      </c>
      <c r="NP199" s="168">
        <v>21332770</v>
      </c>
      <c r="NQ199" s="168" t="s">
        <v>1254</v>
      </c>
      <c r="NR199" s="168" t="s">
        <v>769</v>
      </c>
      <c r="NS199" s="168" t="s">
        <v>770</v>
      </c>
      <c r="NT199" s="168" t="s">
        <v>771</v>
      </c>
      <c r="NU199" s="168">
        <v>5103</v>
      </c>
      <c r="NV199" s="168" t="s">
        <v>2104</v>
      </c>
      <c r="NW199" s="168" t="s">
        <v>28</v>
      </c>
      <c r="NX199" s="168" t="s">
        <v>25</v>
      </c>
      <c r="NY199" s="169">
        <v>42825</v>
      </c>
      <c r="NZ199" s="169">
        <v>42460</v>
      </c>
      <c r="OA199" s="169">
        <v>43035</v>
      </c>
      <c r="OB199" s="168" t="s">
        <v>1255</v>
      </c>
      <c r="OC199" s="168">
        <v>12</v>
      </c>
      <c r="OD199" s="168" t="s">
        <v>2106</v>
      </c>
      <c r="OE199" s="168" t="s">
        <v>2253</v>
      </c>
      <c r="OF199" s="168" t="s">
        <v>2402</v>
      </c>
      <c r="OG199" s="168" t="s">
        <v>1937</v>
      </c>
      <c r="OH199" s="168" t="s">
        <v>787</v>
      </c>
      <c r="OI199" s="168" t="s">
        <v>766</v>
      </c>
      <c r="OJ199" s="168" t="s">
        <v>3240</v>
      </c>
      <c r="OK199" s="168" t="s">
        <v>767</v>
      </c>
    </row>
    <row r="200" spans="1:401" x14ac:dyDescent="0.2">
      <c r="A200" s="170" t="str">
        <f>Liste[[#This Row],[Siren]]</f>
        <v>344251186</v>
      </c>
      <c r="B200" s="198" t="str">
        <f>Liste[[#This Row],[Dénomination]]&amp;" - comptes "&amp;YEAR(Liste[[#This Row],[Date de cloture de l''exercice]])</f>
        <v>GROUPE ALVAREZ - comptes 2017</v>
      </c>
      <c r="C200" s="21"/>
      <c r="D200" s="21"/>
      <c r="E200" s="21"/>
      <c r="F200" s="168">
        <v>8385000</v>
      </c>
      <c r="G200" s="168">
        <v>7446000</v>
      </c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168">
        <v>23383000</v>
      </c>
      <c r="BE200" s="168">
        <v>20010000</v>
      </c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168">
        <v>9877000</v>
      </c>
      <c r="BY200" s="168">
        <v>6983000</v>
      </c>
      <c r="BZ200" s="21"/>
      <c r="CA200" s="21"/>
      <c r="CB200" s="21"/>
      <c r="CC200" s="21"/>
      <c r="CD200" s="21"/>
      <c r="CE200" s="168">
        <v>85000</v>
      </c>
      <c r="CF200" s="168">
        <v>133000</v>
      </c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168">
        <v>62942000</v>
      </c>
      <c r="EM200" s="168">
        <v>59415000</v>
      </c>
      <c r="EN200" s="21"/>
      <c r="EO200" s="21"/>
      <c r="EP200" s="168">
        <v>75933000</v>
      </c>
      <c r="EQ200" s="168">
        <v>66428000</v>
      </c>
      <c r="ER200" s="21"/>
      <c r="ES200" s="21"/>
      <c r="ET200" s="168">
        <v>138876000</v>
      </c>
      <c r="EU200" s="168">
        <v>125842000</v>
      </c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168">
        <v>387000</v>
      </c>
      <c r="FG200" s="168">
        <v>152000</v>
      </c>
      <c r="FH200" s="21"/>
      <c r="FI200" s="168">
        <v>255000</v>
      </c>
      <c r="FJ200" s="168">
        <v>-298000</v>
      </c>
      <c r="FK200" s="21"/>
      <c r="FL200" s="21"/>
      <c r="FM200" s="21"/>
      <c r="FN200" s="21"/>
      <c r="FO200" s="21"/>
      <c r="FP200" s="21"/>
      <c r="FQ200" s="168">
        <v>-85000000</v>
      </c>
      <c r="FR200" s="168">
        <v>-254000</v>
      </c>
      <c r="FS200" s="21"/>
      <c r="FT200" s="21"/>
      <c r="FU200" s="21"/>
      <c r="FV200" s="21"/>
      <c r="FW200" s="168">
        <v>-1646000</v>
      </c>
      <c r="FX200" s="168">
        <v>-1216000</v>
      </c>
      <c r="FY200" s="168">
        <v>-1908000</v>
      </c>
      <c r="FZ200" s="168">
        <v>-1727000</v>
      </c>
      <c r="GA200" s="21"/>
      <c r="GB200" s="21"/>
      <c r="GC200" s="21"/>
      <c r="GD200" s="21"/>
      <c r="GE200" s="21"/>
      <c r="GF200" s="21"/>
      <c r="GG200" s="21"/>
      <c r="GH200" s="21"/>
      <c r="GI200" s="21"/>
      <c r="GJ200" s="21"/>
      <c r="GK200" s="21"/>
      <c r="GL200" s="21"/>
      <c r="GM200" s="168">
        <v>6045000</v>
      </c>
      <c r="GN200" s="168">
        <v>4168000</v>
      </c>
      <c r="GO200" s="168">
        <v>6130000</v>
      </c>
      <c r="GP200" s="168">
        <v>4422000</v>
      </c>
      <c r="GQ200" s="21"/>
      <c r="GR200" s="21"/>
      <c r="GS200" s="168">
        <v>4137000</v>
      </c>
      <c r="GT200" s="168">
        <v>2441000</v>
      </c>
      <c r="GU200" s="21"/>
      <c r="GV200" s="21"/>
      <c r="GW200" s="21"/>
      <c r="GX200" s="21"/>
      <c r="GY200" s="21"/>
      <c r="GZ200" s="21"/>
      <c r="HA200" s="21"/>
      <c r="HB200" s="21"/>
      <c r="HC200" s="21"/>
      <c r="HD200" s="21"/>
      <c r="HE200" s="168">
        <v>-12381000</v>
      </c>
      <c r="HF200" s="168">
        <v>-10620000</v>
      </c>
      <c r="HG200" s="21"/>
      <c r="HH200" s="21"/>
      <c r="HI200" s="168">
        <v>5890000</v>
      </c>
      <c r="HJ200" s="168">
        <v>4191000</v>
      </c>
      <c r="HK200" s="21"/>
      <c r="HL200" s="21"/>
      <c r="HM200" s="21"/>
      <c r="HN200" s="21"/>
      <c r="HO200" s="21"/>
      <c r="HP200" s="21"/>
      <c r="HQ200" s="21"/>
      <c r="HR200" s="21"/>
      <c r="HS200" s="21"/>
      <c r="HT200" s="21"/>
      <c r="HU200" s="21"/>
      <c r="HV200" s="21"/>
      <c r="HW200" s="21"/>
      <c r="HX200" s="21"/>
      <c r="HY200" s="21"/>
      <c r="HZ200" s="21"/>
      <c r="IA200" s="21"/>
      <c r="IB200" s="21"/>
      <c r="IC200" s="21"/>
      <c r="ID200" s="21"/>
      <c r="IE200" s="21"/>
      <c r="IF200" s="21"/>
      <c r="IG200" s="21"/>
      <c r="IH200" s="21"/>
      <c r="II200" s="21"/>
      <c r="IJ200" s="21"/>
      <c r="IK200" s="21"/>
      <c r="IL200" s="21"/>
      <c r="IM200" s="21"/>
      <c r="IN200" s="21"/>
      <c r="IO200" s="21"/>
      <c r="IP200" s="21"/>
      <c r="IQ200" s="21"/>
      <c r="IR200" s="21"/>
      <c r="IS200" s="21"/>
      <c r="IT200" s="21"/>
      <c r="IU200" s="168">
        <v>7521000</v>
      </c>
      <c r="IV200" s="168">
        <v>5936000</v>
      </c>
      <c r="IW200" s="168">
        <v>8118000</v>
      </c>
      <c r="IX200" s="168">
        <v>6378000</v>
      </c>
      <c r="IY200" s="21"/>
      <c r="IZ200" s="21"/>
      <c r="JA200" s="21"/>
      <c r="JB200" s="21"/>
      <c r="JC200" s="21"/>
      <c r="JD200" s="21"/>
      <c r="JE200" s="21"/>
      <c r="JF200" s="21"/>
      <c r="JG200" s="21"/>
      <c r="JH200" s="21"/>
      <c r="JI200" s="21"/>
      <c r="JJ200" s="21"/>
      <c r="JK200" s="21"/>
      <c r="JL200" s="21"/>
      <c r="JM200" s="21"/>
      <c r="JN200" s="21"/>
      <c r="JO200" s="21"/>
      <c r="JP200" s="21"/>
      <c r="JQ200" s="21"/>
      <c r="JR200" s="21"/>
      <c r="JS200" s="21"/>
      <c r="JT200" s="21"/>
      <c r="JU200" s="21"/>
      <c r="JV200" s="21"/>
      <c r="JW200" s="168">
        <v>187737000</v>
      </c>
      <c r="JX200" s="168">
        <v>147276000</v>
      </c>
      <c r="JY200" s="21"/>
      <c r="JZ200" s="21"/>
      <c r="KA200" s="21"/>
      <c r="KB200" s="21"/>
      <c r="KC200" s="21"/>
      <c r="KD200" s="21"/>
      <c r="KE200" s="21"/>
      <c r="KF200" s="21"/>
      <c r="KG200" s="21"/>
      <c r="KH200" s="21"/>
      <c r="KI200" s="21"/>
      <c r="KJ200" s="21"/>
      <c r="KK200" s="21"/>
      <c r="KL200" s="21"/>
      <c r="KM200" s="21"/>
      <c r="KN200" s="21"/>
      <c r="KO200" s="21"/>
      <c r="KP200" s="21"/>
      <c r="KQ200" s="168">
        <v>15467000</v>
      </c>
      <c r="KR200" s="168">
        <v>16642000</v>
      </c>
      <c r="KS200" s="21"/>
      <c r="KT200" s="21"/>
      <c r="KU200" s="21"/>
      <c r="KV200" s="21"/>
      <c r="KW200" s="21"/>
      <c r="KX200" s="21"/>
      <c r="KY200" s="21"/>
      <c r="KZ200" s="21"/>
      <c r="LA200" s="168">
        <v>49312000</v>
      </c>
      <c r="LB200" s="168">
        <v>43964000</v>
      </c>
      <c r="LC200" s="21"/>
      <c r="LD200" s="21"/>
      <c r="LE200" s="21"/>
      <c r="LF200" s="21"/>
      <c r="LG200" s="21"/>
      <c r="LH200" s="21"/>
      <c r="LI200" s="21"/>
      <c r="LJ200" s="21"/>
      <c r="LK200" s="168">
        <v>27930000</v>
      </c>
      <c r="LL200" s="168">
        <v>22423000</v>
      </c>
      <c r="LM200" s="21"/>
      <c r="LN200" s="21"/>
      <c r="LO200" s="21"/>
      <c r="LP200" s="21"/>
      <c r="LQ200" s="21"/>
      <c r="LR200" s="21"/>
      <c r="LS200" s="21"/>
      <c r="LT200" s="21"/>
      <c r="LU200" s="21"/>
      <c r="LV200" s="21"/>
      <c r="LW200" s="21"/>
      <c r="LX200" s="21"/>
      <c r="LY200" s="21"/>
      <c r="LZ200" s="21"/>
      <c r="MA200" s="21"/>
      <c r="MB200" s="21"/>
      <c r="MC200" s="168">
        <v>41110000</v>
      </c>
      <c r="MD200" s="168">
        <v>38069000</v>
      </c>
      <c r="ME200" s="21"/>
      <c r="MF200" s="21"/>
      <c r="MG200" s="21"/>
      <c r="MH200" s="21"/>
      <c r="MI200" s="21"/>
      <c r="MJ200" s="21"/>
      <c r="MK200" s="21"/>
      <c r="ML200" s="21"/>
      <c r="MM200" s="21"/>
      <c r="MN200" s="21"/>
      <c r="MO200" s="21"/>
      <c r="MP200" s="21"/>
      <c r="MQ200" s="21"/>
      <c r="MR200" s="21"/>
      <c r="MS200" s="21"/>
      <c r="MT200" s="21"/>
      <c r="MU200" s="21"/>
      <c r="MV200" s="21"/>
      <c r="MW200" s="21"/>
      <c r="MX200" s="21"/>
      <c r="MY200" s="21"/>
      <c r="MZ200" s="21"/>
      <c r="NA200" s="21"/>
      <c r="NB200" s="21"/>
      <c r="NC200" s="21"/>
      <c r="ND200" s="21"/>
      <c r="NE200" s="21"/>
      <c r="NF200" s="21"/>
      <c r="NG200" s="168">
        <v>34556000</v>
      </c>
      <c r="NH200" s="168">
        <v>30114000</v>
      </c>
      <c r="NI200" s="21"/>
      <c r="NJ200" s="21"/>
      <c r="NK200" s="21"/>
      <c r="NL200" s="21"/>
      <c r="NM200" s="21"/>
      <c r="NN200" s="21"/>
      <c r="NO200" s="168">
        <v>138876000</v>
      </c>
      <c r="NP200" s="168">
        <v>125842000</v>
      </c>
      <c r="NQ200" s="168" t="s">
        <v>881</v>
      </c>
      <c r="NR200" s="168" t="s">
        <v>779</v>
      </c>
      <c r="NS200" s="168" t="s">
        <v>770</v>
      </c>
      <c r="NT200" s="168" t="s">
        <v>771</v>
      </c>
      <c r="NU200" s="168">
        <v>6403</v>
      </c>
      <c r="NV200" s="168" t="s">
        <v>2104</v>
      </c>
      <c r="NW200" s="168" t="s">
        <v>28</v>
      </c>
      <c r="NX200" s="168" t="s">
        <v>25</v>
      </c>
      <c r="NY200" s="169">
        <v>42825</v>
      </c>
      <c r="NZ200" s="169">
        <v>42460</v>
      </c>
      <c r="OA200" s="169">
        <v>43055</v>
      </c>
      <c r="OB200" s="168" t="s">
        <v>1256</v>
      </c>
      <c r="OC200" s="168">
        <v>12</v>
      </c>
      <c r="OD200" s="168" t="s">
        <v>2105</v>
      </c>
      <c r="OE200" s="168" t="s">
        <v>2403</v>
      </c>
      <c r="OF200" s="168" t="s">
        <v>2404</v>
      </c>
      <c r="OG200" s="168" t="s">
        <v>1938</v>
      </c>
      <c r="OH200" s="168" t="s">
        <v>831</v>
      </c>
      <c r="OI200" s="168" t="s">
        <v>766</v>
      </c>
      <c r="OJ200" s="168" t="s">
        <v>3240</v>
      </c>
      <c r="OK200" s="168" t="s">
        <v>778</v>
      </c>
    </row>
    <row r="201" spans="1:401" x14ac:dyDescent="0.2">
      <c r="A201" s="170" t="str">
        <f>Liste[[#This Row],[Siren]]</f>
        <v>389486267</v>
      </c>
      <c r="B201" s="198" t="str">
        <f>Liste[[#This Row],[Dénomination]]&amp;" - comptes "&amp;YEAR(Liste[[#This Row],[Date de cloture de l''exercice]])</f>
        <v>LG INVESTISSEMENT - comptes 2017</v>
      </c>
      <c r="C201" s="21"/>
      <c r="D201" s="21"/>
      <c r="E201" s="21"/>
      <c r="F201" s="168">
        <v>1191000</v>
      </c>
      <c r="G201" s="168">
        <v>1159000</v>
      </c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168">
        <v>2797000</v>
      </c>
      <c r="BE201" s="168">
        <v>2490000</v>
      </c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168">
        <v>2027000</v>
      </c>
      <c r="EM201" s="168">
        <v>2243000</v>
      </c>
      <c r="EN201" s="21"/>
      <c r="EO201" s="21"/>
      <c r="EP201" s="168">
        <v>14784000</v>
      </c>
      <c r="EQ201" s="168">
        <v>14185000</v>
      </c>
      <c r="ER201" s="21"/>
      <c r="ES201" s="21"/>
      <c r="ET201" s="168">
        <v>16811000</v>
      </c>
      <c r="EU201" s="168">
        <v>16428000</v>
      </c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  <c r="FH201" s="21"/>
      <c r="FI201" s="168">
        <v>22000</v>
      </c>
      <c r="FJ201" s="168">
        <v>-449000</v>
      </c>
      <c r="FK201" s="21"/>
      <c r="FL201" s="21"/>
      <c r="FM201" s="21"/>
      <c r="FN201" s="21"/>
      <c r="FO201" s="21"/>
      <c r="FP201" s="21"/>
      <c r="FQ201" s="168">
        <v>-23000</v>
      </c>
      <c r="FR201" s="168">
        <v>-23000</v>
      </c>
      <c r="FS201" s="21"/>
      <c r="FT201" s="21"/>
      <c r="FU201" s="21"/>
      <c r="FV201" s="21"/>
      <c r="FW201" s="21"/>
      <c r="FX201" s="21"/>
      <c r="FY201" s="168">
        <v>73000</v>
      </c>
      <c r="FZ201" s="168">
        <v>42000</v>
      </c>
      <c r="GA201" s="21"/>
      <c r="GB201" s="21"/>
      <c r="GC201" s="21"/>
      <c r="GD201" s="21"/>
      <c r="GE201" s="21"/>
      <c r="GF201" s="21"/>
      <c r="GG201" s="21"/>
      <c r="GH201" s="21"/>
      <c r="GI201" s="21"/>
      <c r="GJ201" s="21"/>
      <c r="GK201" s="21"/>
      <c r="GL201" s="21"/>
      <c r="GM201" s="168">
        <v>343000</v>
      </c>
      <c r="GN201" s="168">
        <v>-217000</v>
      </c>
      <c r="GO201" s="21"/>
      <c r="GP201" s="21"/>
      <c r="GQ201" s="21"/>
      <c r="GR201" s="21"/>
      <c r="GS201" s="168">
        <v>270000</v>
      </c>
      <c r="GT201" s="168">
        <v>-259000</v>
      </c>
      <c r="GU201" s="21"/>
      <c r="GV201" s="21"/>
      <c r="GW201" s="21"/>
      <c r="GX201" s="21"/>
      <c r="GY201" s="21"/>
      <c r="GZ201" s="21"/>
      <c r="HA201" s="21"/>
      <c r="HB201" s="21"/>
      <c r="HC201" s="21"/>
      <c r="HD201" s="21"/>
      <c r="HE201" s="21"/>
      <c r="HF201" s="21"/>
      <c r="HG201" s="21"/>
      <c r="HH201" s="21"/>
      <c r="HI201" s="21"/>
      <c r="HJ201" s="21"/>
      <c r="HK201" s="21"/>
      <c r="HL201" s="21"/>
      <c r="HM201" s="21"/>
      <c r="HN201" s="21"/>
      <c r="HO201" s="21"/>
      <c r="HP201" s="21"/>
      <c r="HQ201" s="21"/>
      <c r="HR201" s="21"/>
      <c r="HS201" s="21"/>
      <c r="HT201" s="21"/>
      <c r="HU201" s="21"/>
      <c r="HV201" s="21"/>
      <c r="HW201" s="21"/>
      <c r="HX201" s="21"/>
      <c r="HY201" s="21"/>
      <c r="HZ201" s="21"/>
      <c r="IA201" s="21"/>
      <c r="IB201" s="21"/>
      <c r="IC201" s="21"/>
      <c r="ID201" s="21"/>
      <c r="IE201" s="168">
        <v>426000</v>
      </c>
      <c r="IF201" s="168">
        <v>394000</v>
      </c>
      <c r="IG201" s="21"/>
      <c r="IH201" s="21"/>
      <c r="II201" s="21"/>
      <c r="IJ201" s="21"/>
      <c r="IK201" s="21"/>
      <c r="IL201" s="21"/>
      <c r="IM201" s="21"/>
      <c r="IN201" s="21"/>
      <c r="IO201" s="21"/>
      <c r="IP201" s="21"/>
      <c r="IQ201" s="21"/>
      <c r="IR201" s="21"/>
      <c r="IS201" s="21"/>
      <c r="IT201" s="21"/>
      <c r="IU201" s="168">
        <v>646000</v>
      </c>
      <c r="IV201" s="168">
        <v>99000</v>
      </c>
      <c r="IW201" s="168">
        <v>741000</v>
      </c>
      <c r="IX201" s="168">
        <v>184000</v>
      </c>
      <c r="IY201" s="168">
        <v>-96000</v>
      </c>
      <c r="IZ201" s="168">
        <v>-85000</v>
      </c>
      <c r="JA201" s="21"/>
      <c r="JB201" s="21"/>
      <c r="JC201" s="21"/>
      <c r="JD201" s="21"/>
      <c r="JE201" s="168">
        <v>5993000</v>
      </c>
      <c r="JF201" s="168">
        <v>5748000</v>
      </c>
      <c r="JG201" s="21"/>
      <c r="JH201" s="21"/>
      <c r="JI201" s="21"/>
      <c r="JJ201" s="21"/>
      <c r="JK201" s="21"/>
      <c r="JL201" s="21"/>
      <c r="JM201" s="21"/>
      <c r="JN201" s="21"/>
      <c r="JO201" s="21"/>
      <c r="JP201" s="21"/>
      <c r="JQ201" s="21"/>
      <c r="JR201" s="21"/>
      <c r="JS201" s="21"/>
      <c r="JT201" s="21"/>
      <c r="JU201" s="21"/>
      <c r="JV201" s="21"/>
      <c r="JW201" s="168">
        <v>24199000</v>
      </c>
      <c r="JX201" s="168">
        <v>21558000</v>
      </c>
      <c r="JY201" s="21"/>
      <c r="JZ201" s="21"/>
      <c r="KA201" s="21"/>
      <c r="KB201" s="21"/>
      <c r="KC201" s="21"/>
      <c r="KD201" s="21"/>
      <c r="KE201" s="21"/>
      <c r="KF201" s="21"/>
      <c r="KG201" s="21"/>
      <c r="KH201" s="21"/>
      <c r="KI201" s="21"/>
      <c r="KJ201" s="21"/>
      <c r="KK201" s="21"/>
      <c r="KL201" s="21"/>
      <c r="KM201" s="21"/>
      <c r="KN201" s="21"/>
      <c r="KO201" s="21"/>
      <c r="KP201" s="21"/>
      <c r="KQ201" s="21"/>
      <c r="KR201" s="21"/>
      <c r="KS201" s="21"/>
      <c r="KT201" s="21"/>
      <c r="KU201" s="21"/>
      <c r="KV201" s="21"/>
      <c r="KW201" s="21"/>
      <c r="KX201" s="21"/>
      <c r="KY201" s="21"/>
      <c r="KZ201" s="21"/>
      <c r="LA201" s="168">
        <v>1726000</v>
      </c>
      <c r="LB201" s="168">
        <v>1726000</v>
      </c>
      <c r="LC201" s="21"/>
      <c r="LD201" s="21"/>
      <c r="LE201" s="21"/>
      <c r="LF201" s="21"/>
      <c r="LG201" s="21"/>
      <c r="LH201" s="21"/>
      <c r="LI201" s="21"/>
      <c r="LJ201" s="21"/>
      <c r="LK201" s="168">
        <v>3372000</v>
      </c>
      <c r="LL201" s="168">
        <v>2763000</v>
      </c>
      <c r="LM201" s="21"/>
      <c r="LN201" s="21"/>
      <c r="LO201" s="21"/>
      <c r="LP201" s="21"/>
      <c r="LQ201" s="21"/>
      <c r="LR201" s="21"/>
      <c r="LS201" s="21"/>
      <c r="LT201" s="21"/>
      <c r="LU201" s="21"/>
      <c r="LV201" s="21"/>
      <c r="LW201" s="21"/>
      <c r="LX201" s="21"/>
      <c r="LY201" s="21"/>
      <c r="LZ201" s="21"/>
      <c r="MA201" s="21"/>
      <c r="MB201" s="21"/>
      <c r="MC201" s="168">
        <v>3039000</v>
      </c>
      <c r="MD201" s="168">
        <v>3620000</v>
      </c>
      <c r="ME201" s="21"/>
      <c r="MF201" s="21"/>
      <c r="MG201" s="21"/>
      <c r="MH201" s="21"/>
      <c r="MI201" s="21"/>
      <c r="MJ201" s="21"/>
      <c r="MK201" s="21"/>
      <c r="ML201" s="21"/>
      <c r="MM201" s="21"/>
      <c r="MN201" s="21"/>
      <c r="MO201" s="21"/>
      <c r="MP201" s="21"/>
      <c r="MQ201" s="21"/>
      <c r="MR201" s="21"/>
      <c r="MS201" s="21"/>
      <c r="MT201" s="21"/>
      <c r="MU201" s="21"/>
      <c r="MV201" s="21"/>
      <c r="MW201" s="21"/>
      <c r="MX201" s="21"/>
      <c r="MY201" s="21"/>
      <c r="MZ201" s="21"/>
      <c r="NA201" s="21"/>
      <c r="NB201" s="21"/>
      <c r="NC201" s="168">
        <v>270000</v>
      </c>
      <c r="ND201" s="168">
        <v>-259000</v>
      </c>
      <c r="NE201" s="21"/>
      <c r="NF201" s="21"/>
      <c r="NG201" s="168">
        <v>7550000</v>
      </c>
      <c r="NH201" s="168">
        <v>7280000</v>
      </c>
      <c r="NI201" s="21"/>
      <c r="NJ201" s="21"/>
      <c r="NK201" s="168">
        <v>645000</v>
      </c>
      <c r="NL201" s="168">
        <v>572000</v>
      </c>
      <c r="NM201" s="168">
        <v>7923000</v>
      </c>
      <c r="NN201" s="168">
        <v>7931000</v>
      </c>
      <c r="NO201" s="168">
        <v>16811000</v>
      </c>
      <c r="NP201" s="168">
        <v>16428000</v>
      </c>
      <c r="NQ201" s="168" t="s">
        <v>1276</v>
      </c>
      <c r="NR201" s="168" t="s">
        <v>797</v>
      </c>
      <c r="NS201" s="168" t="s">
        <v>770</v>
      </c>
      <c r="NT201" s="168" t="s">
        <v>771</v>
      </c>
      <c r="NU201" s="168">
        <v>7801</v>
      </c>
      <c r="NV201" s="168" t="s">
        <v>2133</v>
      </c>
      <c r="NW201" s="168" t="s">
        <v>28</v>
      </c>
      <c r="NX201" s="168" t="s">
        <v>25</v>
      </c>
      <c r="NY201" s="169">
        <v>42825</v>
      </c>
      <c r="NZ201" s="169">
        <v>42460</v>
      </c>
      <c r="OA201" s="169">
        <v>43048</v>
      </c>
      <c r="OB201" s="168" t="s">
        <v>1277</v>
      </c>
      <c r="OC201" s="168">
        <v>12</v>
      </c>
      <c r="OD201" s="168" t="s">
        <v>2105</v>
      </c>
      <c r="OE201" s="168" t="s">
        <v>2420</v>
      </c>
      <c r="OF201" s="168" t="s">
        <v>2421</v>
      </c>
      <c r="OG201" s="168" t="s">
        <v>1948</v>
      </c>
      <c r="OH201" s="168" t="s">
        <v>772</v>
      </c>
      <c r="OI201" s="168" t="s">
        <v>825</v>
      </c>
      <c r="OJ201" s="168" t="s">
        <v>3242</v>
      </c>
      <c r="OK201" s="168" t="s">
        <v>796</v>
      </c>
    </row>
    <row r="202" spans="1:401" x14ac:dyDescent="0.2">
      <c r="A202" s="170" t="str">
        <f>Liste[[#This Row],[Siren]]</f>
        <v>530956416</v>
      </c>
      <c r="B202" s="198" t="str">
        <f>Liste[[#This Row],[Dénomination]]&amp;" - comptes "&amp;YEAR(Liste[[#This Row],[Date de cloture de l''exercice]])</f>
        <v>ANTEMETA FINANCES - comptes 2017</v>
      </c>
      <c r="C202" s="21"/>
      <c r="D202" s="21"/>
      <c r="E202" s="21"/>
      <c r="F202" s="168">
        <v>2731548</v>
      </c>
      <c r="G202" s="168">
        <v>1297628</v>
      </c>
      <c r="H202" s="168">
        <v>2731548</v>
      </c>
      <c r="I202" s="168">
        <v>1034030</v>
      </c>
      <c r="J202" s="168">
        <v>467978</v>
      </c>
      <c r="K202" s="168">
        <v>403461</v>
      </c>
      <c r="L202" s="168">
        <v>1502008</v>
      </c>
      <c r="M202" s="21"/>
      <c r="N202" s="168">
        <v>214227</v>
      </c>
      <c r="O202" s="168">
        <v>367433</v>
      </c>
      <c r="P202" s="168">
        <v>214227</v>
      </c>
      <c r="Q202" s="168">
        <v>179234</v>
      </c>
      <c r="R202" s="168">
        <v>103014</v>
      </c>
      <c r="S202" s="168">
        <v>58686</v>
      </c>
      <c r="T202" s="168">
        <v>282248</v>
      </c>
      <c r="U202" s="21"/>
      <c r="V202" s="168">
        <v>10</v>
      </c>
      <c r="W202" s="168">
        <v>10</v>
      </c>
      <c r="X202" s="168">
        <v>10</v>
      </c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168">
        <v>1811451</v>
      </c>
      <c r="BA202" s="168">
        <v>1442561</v>
      </c>
      <c r="BB202" s="168">
        <v>1811451</v>
      </c>
      <c r="BC202" s="168">
        <v>7590</v>
      </c>
      <c r="BD202" s="168">
        <v>21401557</v>
      </c>
      <c r="BE202" s="168">
        <v>23119223</v>
      </c>
      <c r="BF202" s="168">
        <v>21409147</v>
      </c>
      <c r="BG202" s="168">
        <v>686753</v>
      </c>
      <c r="BH202" s="168">
        <v>601312</v>
      </c>
      <c r="BI202" s="168">
        <v>525849</v>
      </c>
      <c r="BJ202" s="168">
        <v>1288065</v>
      </c>
      <c r="BK202" s="168">
        <v>118433</v>
      </c>
      <c r="BL202" s="168">
        <v>194740</v>
      </c>
      <c r="BM202" s="168">
        <v>203549</v>
      </c>
      <c r="BN202" s="168">
        <v>313172</v>
      </c>
      <c r="BO202" s="21"/>
      <c r="BP202" s="21"/>
      <c r="BQ202" s="21"/>
      <c r="BR202" s="21"/>
      <c r="BS202" s="21"/>
      <c r="BT202" s="21"/>
      <c r="BU202" s="21"/>
      <c r="BV202" s="21"/>
      <c r="BW202" s="21"/>
      <c r="BX202" s="168">
        <v>6360348</v>
      </c>
      <c r="BY202" s="168">
        <v>5818619</v>
      </c>
      <c r="BZ202" s="168">
        <v>6360348</v>
      </c>
      <c r="CA202" s="21"/>
      <c r="CB202" s="21"/>
      <c r="CC202" s="21"/>
      <c r="CD202" s="168">
        <v>8336526</v>
      </c>
      <c r="CE202" s="168">
        <v>17894458</v>
      </c>
      <c r="CF202" s="168">
        <v>16673204</v>
      </c>
      <c r="CG202" s="168">
        <v>26230984</v>
      </c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168">
        <v>173695</v>
      </c>
      <c r="CU202" s="168">
        <v>427112</v>
      </c>
      <c r="CV202" s="168">
        <v>387387</v>
      </c>
      <c r="CW202" s="168">
        <v>600807</v>
      </c>
      <c r="CX202" s="21"/>
      <c r="CY202" s="21"/>
      <c r="CZ202" s="21"/>
      <c r="DA202" s="21"/>
      <c r="DB202" s="21"/>
      <c r="DC202" s="21"/>
      <c r="DD202" s="21"/>
      <c r="DE202" s="21"/>
      <c r="DF202" s="168">
        <v>4166294</v>
      </c>
      <c r="DG202" s="168">
        <v>2770649</v>
      </c>
      <c r="DH202" s="168">
        <v>2347957</v>
      </c>
      <c r="DI202" s="168">
        <v>6936943</v>
      </c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168">
        <v>2596</v>
      </c>
      <c r="DX202" s="21"/>
      <c r="DY202" s="168">
        <v>2596</v>
      </c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168">
        <v>14694965</v>
      </c>
      <c r="EL202" s="168">
        <v>22676095</v>
      </c>
      <c r="EM202" s="168">
        <v>20967536</v>
      </c>
      <c r="EN202" s="168">
        <v>37371060</v>
      </c>
      <c r="EO202" s="168">
        <v>1625170</v>
      </c>
      <c r="EP202" s="168">
        <v>33514914</v>
      </c>
      <c r="EQ202" s="168">
        <v>32809509</v>
      </c>
      <c r="ER202" s="168">
        <v>35140083</v>
      </c>
      <c r="ES202" s="168">
        <v>16320135</v>
      </c>
      <c r="ET202" s="168">
        <v>56290161</v>
      </c>
      <c r="EU202" s="168">
        <v>53906076</v>
      </c>
      <c r="EV202" s="168">
        <v>72610295</v>
      </c>
      <c r="EW202" s="21"/>
      <c r="EX202" s="21"/>
      <c r="EY202" s="21"/>
      <c r="EZ202" s="21"/>
      <c r="FA202" s="21"/>
      <c r="FB202" s="21"/>
      <c r="FC202" s="21"/>
      <c r="FD202" s="21"/>
      <c r="FE202" s="21"/>
      <c r="FF202" s="168">
        <v>-3</v>
      </c>
      <c r="FG202" s="168">
        <v>160</v>
      </c>
      <c r="FH202" s="168">
        <v>-3</v>
      </c>
      <c r="FI202" s="168">
        <v>103267</v>
      </c>
      <c r="FJ202" s="168">
        <v>455065</v>
      </c>
      <c r="FK202" s="21"/>
      <c r="FL202" s="21"/>
      <c r="FM202" s="168">
        <v>201505</v>
      </c>
      <c r="FN202" s="168">
        <v>178342</v>
      </c>
      <c r="FO202" s="168">
        <v>1511</v>
      </c>
      <c r="FP202" s="168">
        <v>42018</v>
      </c>
      <c r="FQ202" s="21"/>
      <c r="FR202" s="168">
        <v>1667320</v>
      </c>
      <c r="FS202" s="168">
        <v>-487</v>
      </c>
      <c r="FT202" s="21"/>
      <c r="FU202" s="168">
        <v>29377</v>
      </c>
      <c r="FV202" s="168">
        <v>74199</v>
      </c>
      <c r="FW202" s="168">
        <v>511120</v>
      </c>
      <c r="FX202" s="168">
        <v>1220840</v>
      </c>
      <c r="FY202" s="21"/>
      <c r="FZ202" s="21"/>
      <c r="GA202" s="21"/>
      <c r="GB202" s="21"/>
      <c r="GC202" s="168">
        <v>54932</v>
      </c>
      <c r="GD202" s="168">
        <v>1062</v>
      </c>
      <c r="GE202" s="168">
        <v>74642</v>
      </c>
      <c r="GF202" s="168">
        <v>176125</v>
      </c>
      <c r="GG202" s="21"/>
      <c r="GH202" s="21"/>
      <c r="GI202" s="21"/>
      <c r="GJ202" s="21"/>
      <c r="GK202" s="168">
        <v>176221</v>
      </c>
      <c r="GL202" s="168">
        <v>498238</v>
      </c>
      <c r="GM202" s="168">
        <v>913826</v>
      </c>
      <c r="GN202" s="168">
        <v>861754</v>
      </c>
      <c r="GO202" s="168">
        <v>913826</v>
      </c>
      <c r="GP202" s="168">
        <v>2529074</v>
      </c>
      <c r="GQ202" s="21"/>
      <c r="GR202" s="21"/>
      <c r="GS202" s="21"/>
      <c r="GT202" s="21"/>
      <c r="GU202" s="168">
        <v>202528</v>
      </c>
      <c r="GV202" s="168">
        <v>220361</v>
      </c>
      <c r="GW202" s="168">
        <v>305796</v>
      </c>
      <c r="GX202" s="168">
        <v>675425</v>
      </c>
      <c r="GY202" s="168">
        <v>26829841</v>
      </c>
      <c r="GZ202" s="168">
        <v>30396273</v>
      </c>
      <c r="HA202" s="21"/>
      <c r="HB202" s="21"/>
      <c r="HC202" s="168">
        <v>7889201</v>
      </c>
      <c r="HD202" s="168">
        <v>8426624</v>
      </c>
      <c r="HE202" s="168">
        <v>18446</v>
      </c>
      <c r="HF202" s="168">
        <v>9695</v>
      </c>
      <c r="HG202" s="168">
        <v>570</v>
      </c>
      <c r="HH202" s="168">
        <v>6032</v>
      </c>
      <c r="HI202" s="168">
        <v>8</v>
      </c>
      <c r="HJ202" s="168">
        <v>71</v>
      </c>
      <c r="HK202" s="21"/>
      <c r="HL202" s="21"/>
      <c r="HM202" s="21"/>
      <c r="HN202" s="21"/>
      <c r="HO202" s="168">
        <v>5210626</v>
      </c>
      <c r="HP202" s="168">
        <v>5237767</v>
      </c>
      <c r="HQ202" s="168">
        <v>32838</v>
      </c>
      <c r="HR202" s="168">
        <v>19415</v>
      </c>
      <c r="HS202" s="168">
        <v>35427</v>
      </c>
      <c r="HT202" s="168">
        <v>-14721</v>
      </c>
      <c r="HU202" s="168">
        <v>1449402</v>
      </c>
      <c r="HV202" s="168">
        <v>1177942</v>
      </c>
      <c r="HW202" s="21"/>
      <c r="HX202" s="21"/>
      <c r="HY202" s="168">
        <v>125028</v>
      </c>
      <c r="HZ202" s="168">
        <v>142426</v>
      </c>
      <c r="IA202" s="168">
        <v>1617580</v>
      </c>
      <c r="IB202" s="168">
        <v>1395959</v>
      </c>
      <c r="IC202" s="168">
        <v>42318</v>
      </c>
      <c r="ID202" s="168">
        <v>29961</v>
      </c>
      <c r="IE202" s="168">
        <v>875258</v>
      </c>
      <c r="IF202" s="168">
        <v>931969</v>
      </c>
      <c r="IG202" s="168">
        <v>302495</v>
      </c>
      <c r="IH202" s="168">
        <v>405597</v>
      </c>
      <c r="II202" s="21"/>
      <c r="IJ202" s="21"/>
      <c r="IK202" s="168">
        <v>218543</v>
      </c>
      <c r="IL202" s="168">
        <v>309141</v>
      </c>
      <c r="IM202" s="168">
        <v>-360</v>
      </c>
      <c r="IN202" s="168">
        <v>-15000</v>
      </c>
      <c r="IO202" s="168">
        <v>2720</v>
      </c>
      <c r="IP202" s="168">
        <v>19133</v>
      </c>
      <c r="IQ202" s="21"/>
      <c r="IR202" s="21"/>
      <c r="IS202" s="21"/>
      <c r="IT202" s="21"/>
      <c r="IU202" s="168">
        <v>1351056</v>
      </c>
      <c r="IV202" s="168">
        <v>3369049</v>
      </c>
      <c r="IW202" s="168">
        <v>1683833</v>
      </c>
      <c r="IX202" s="168">
        <v>3770996</v>
      </c>
      <c r="IY202" s="168">
        <v>-332776</v>
      </c>
      <c r="IZ202" s="168">
        <v>-401947</v>
      </c>
      <c r="JA202" s="168">
        <v>1610271</v>
      </c>
      <c r="JB202" s="168">
        <v>1520907</v>
      </c>
      <c r="JC202" s="168">
        <v>6158</v>
      </c>
      <c r="JD202" s="168">
        <v>42582</v>
      </c>
      <c r="JE202" s="168">
        <v>11113685</v>
      </c>
      <c r="JF202" s="168">
        <v>10775191</v>
      </c>
      <c r="JG202" s="168">
        <v>2000</v>
      </c>
      <c r="JH202" s="168">
        <v>6656</v>
      </c>
      <c r="JI202" s="168">
        <v>54904924</v>
      </c>
      <c r="JJ202" s="168">
        <v>58139352</v>
      </c>
      <c r="JK202" s="168">
        <v>377651</v>
      </c>
      <c r="JL202" s="168">
        <v>454973</v>
      </c>
      <c r="JM202" s="168">
        <v>56588757</v>
      </c>
      <c r="JN202" s="168">
        <v>61910347</v>
      </c>
      <c r="JO202" s="168">
        <v>44875</v>
      </c>
      <c r="JP202" s="168">
        <v>53026</v>
      </c>
      <c r="JQ202" s="168">
        <v>-224142</v>
      </c>
      <c r="JR202" s="168">
        <v>-354494</v>
      </c>
      <c r="JS202" s="21"/>
      <c r="JT202" s="21"/>
      <c r="JU202" s="21"/>
      <c r="JV202" s="168">
        <v>54758296</v>
      </c>
      <c r="JW202" s="168">
        <v>54758296</v>
      </c>
      <c r="JX202" s="168">
        <v>60088572</v>
      </c>
      <c r="JY202" s="21"/>
      <c r="JZ202" s="168">
        <v>266008</v>
      </c>
      <c r="KA202" s="168">
        <v>266008</v>
      </c>
      <c r="KB202" s="168">
        <v>265030</v>
      </c>
      <c r="KC202" s="21"/>
      <c r="KD202" s="168">
        <v>21462621</v>
      </c>
      <c r="KE202" s="168">
        <v>21462621</v>
      </c>
      <c r="KF202" s="168">
        <v>22013754</v>
      </c>
      <c r="KG202" s="21"/>
      <c r="KH202" s="168">
        <v>33029667</v>
      </c>
      <c r="KI202" s="168">
        <v>33029667</v>
      </c>
      <c r="KJ202" s="168">
        <v>37809789</v>
      </c>
      <c r="KK202" s="21"/>
      <c r="KL202" s="21"/>
      <c r="KM202" s="21"/>
      <c r="KN202" s="21"/>
      <c r="KO202" s="21"/>
      <c r="KP202" s="21"/>
      <c r="KQ202" s="168">
        <v>51245</v>
      </c>
      <c r="KR202" s="168">
        <v>223828</v>
      </c>
      <c r="KS202" s="21"/>
      <c r="KT202" s="21"/>
      <c r="KU202" s="21"/>
      <c r="KV202" s="21"/>
      <c r="KW202" s="21"/>
      <c r="KX202" s="21"/>
      <c r="KY202" s="168">
        <v>2280</v>
      </c>
      <c r="KZ202" s="21"/>
      <c r="LA202" s="168">
        <v>11700000</v>
      </c>
      <c r="LB202" s="168">
        <v>11700000</v>
      </c>
      <c r="LC202" s="21"/>
      <c r="LD202" s="21"/>
      <c r="LE202" s="21"/>
      <c r="LF202" s="21"/>
      <c r="LG202" s="21"/>
      <c r="LH202" s="21"/>
      <c r="LI202" s="168">
        <v>7511745</v>
      </c>
      <c r="LJ202" s="168">
        <v>7875246</v>
      </c>
      <c r="LK202" s="168">
        <v>16969762</v>
      </c>
      <c r="LL202" s="168">
        <v>13459246</v>
      </c>
      <c r="LM202" s="21"/>
      <c r="LN202" s="21"/>
      <c r="LO202" s="21"/>
      <c r="LP202" s="21"/>
      <c r="LQ202" s="21"/>
      <c r="LR202" s="21"/>
      <c r="LS202" s="21"/>
      <c r="LT202" s="21"/>
      <c r="LU202" s="21"/>
      <c r="LV202" s="21"/>
      <c r="LW202" s="21"/>
      <c r="LX202" s="21"/>
      <c r="LY202" s="21"/>
      <c r="LZ202" s="21"/>
      <c r="MA202" s="168">
        <v>11682477</v>
      </c>
      <c r="MB202" s="168">
        <v>12581852</v>
      </c>
      <c r="MC202" s="21"/>
      <c r="MD202" s="21"/>
      <c r="ME202" s="21"/>
      <c r="MF202" s="21"/>
      <c r="MG202" s="21"/>
      <c r="MH202" s="21"/>
      <c r="MI202" s="21"/>
      <c r="MJ202" s="21"/>
      <c r="MK202" s="21"/>
      <c r="ML202" s="21"/>
      <c r="MM202" s="168">
        <v>6489176</v>
      </c>
      <c r="MN202" s="168">
        <v>6929066</v>
      </c>
      <c r="MO202" s="168">
        <v>1328402</v>
      </c>
      <c r="MP202" s="168">
        <v>1010078</v>
      </c>
      <c r="MQ202" s="168">
        <v>26099</v>
      </c>
      <c r="MR202" s="168">
        <v>26100</v>
      </c>
      <c r="MS202" s="21"/>
      <c r="MT202" s="21"/>
      <c r="MU202" s="21"/>
      <c r="MV202" s="21"/>
      <c r="MW202" s="168">
        <v>463816</v>
      </c>
      <c r="MX202" s="168">
        <v>411188</v>
      </c>
      <c r="MY202" s="21"/>
      <c r="MZ202" s="21"/>
      <c r="NA202" s="21"/>
      <c r="NB202" s="21"/>
      <c r="NC202" s="168">
        <v>913826</v>
      </c>
      <c r="ND202" s="168">
        <v>861754</v>
      </c>
      <c r="NE202" s="21"/>
      <c r="NF202" s="21"/>
      <c r="NG202" s="168">
        <v>12166499</v>
      </c>
      <c r="NH202" s="168">
        <v>11559906</v>
      </c>
      <c r="NI202" s="21"/>
      <c r="NJ202" s="21"/>
      <c r="NK202" s="21"/>
      <c r="NL202" s="21"/>
      <c r="NM202" s="168">
        <v>42769161</v>
      </c>
      <c r="NN202" s="168">
        <v>41309992</v>
      </c>
      <c r="NO202" s="168">
        <v>56290161</v>
      </c>
      <c r="NP202" s="168">
        <v>53906076</v>
      </c>
      <c r="NQ202" s="168" t="s">
        <v>1007</v>
      </c>
      <c r="NR202" s="168" t="s">
        <v>769</v>
      </c>
      <c r="NS202" s="168" t="s">
        <v>770</v>
      </c>
      <c r="NT202" s="168" t="s">
        <v>771</v>
      </c>
      <c r="NU202" s="168">
        <v>7803</v>
      </c>
      <c r="NV202" s="168" t="s">
        <v>2104</v>
      </c>
      <c r="NW202" s="168" t="s">
        <v>28</v>
      </c>
      <c r="NX202" s="168" t="s">
        <v>25</v>
      </c>
      <c r="NY202" s="169">
        <v>42825</v>
      </c>
      <c r="NZ202" s="169">
        <v>42460</v>
      </c>
      <c r="OA202" s="169">
        <v>43082</v>
      </c>
      <c r="OB202" s="168" t="s">
        <v>1278</v>
      </c>
      <c r="OC202" s="168">
        <v>12</v>
      </c>
      <c r="OD202" s="168" t="s">
        <v>2105</v>
      </c>
      <c r="OE202" s="168" t="s">
        <v>2422</v>
      </c>
      <c r="OF202" s="168" t="s">
        <v>2423</v>
      </c>
      <c r="OG202" s="168" t="s">
        <v>1949</v>
      </c>
      <c r="OH202" s="168" t="s">
        <v>795</v>
      </c>
      <c r="OI202" s="168" t="s">
        <v>766</v>
      </c>
      <c r="OJ202" s="168" t="s">
        <v>3240</v>
      </c>
      <c r="OK202" s="168" t="s">
        <v>767</v>
      </c>
    </row>
    <row r="203" spans="1:401" x14ac:dyDescent="0.2">
      <c r="A203" s="170" t="str">
        <f>Liste[[#This Row],[Siren]]</f>
        <v>349041913</v>
      </c>
      <c r="B203" s="198" t="str">
        <f>Liste[[#This Row],[Dénomination]]&amp;" - comptes "&amp;YEAR(Liste[[#This Row],[Date de cloture de l''exercice]])</f>
        <v>BACK EUROP FRANCE - comptes 2017</v>
      </c>
      <c r="C203" s="21"/>
      <c r="D203" s="21"/>
      <c r="E203" s="21"/>
      <c r="F203" s="168">
        <v>10235085</v>
      </c>
      <c r="G203" s="168">
        <v>9459935</v>
      </c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168">
        <v>47635274</v>
      </c>
      <c r="BE203" s="168">
        <v>41424119</v>
      </c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168">
        <v>6131525</v>
      </c>
      <c r="BY203" s="168">
        <v>6615304</v>
      </c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168">
        <v>12363722</v>
      </c>
      <c r="EM203" s="168">
        <v>9345913</v>
      </c>
      <c r="EN203" s="21"/>
      <c r="EO203" s="21"/>
      <c r="EP203" s="168">
        <v>67811599</v>
      </c>
      <c r="EQ203" s="168">
        <v>62071584</v>
      </c>
      <c r="ER203" s="21"/>
      <c r="ES203" s="21"/>
      <c r="ET203" s="168">
        <v>80175321</v>
      </c>
      <c r="EU203" s="168">
        <v>71417497</v>
      </c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  <c r="FH203" s="21"/>
      <c r="FI203" s="21"/>
      <c r="FJ203" s="21"/>
      <c r="FK203" s="168">
        <v>125352</v>
      </c>
      <c r="FL203" s="168">
        <v>78757</v>
      </c>
      <c r="FM203" s="21"/>
      <c r="FN203" s="21"/>
      <c r="FO203" s="21"/>
      <c r="FP203" s="21"/>
      <c r="FQ203" s="21"/>
      <c r="FR203" s="21"/>
      <c r="FS203" s="21"/>
      <c r="FT203" s="21"/>
      <c r="FU203" s="168">
        <v>2127</v>
      </c>
      <c r="FV203" s="168">
        <v>15994</v>
      </c>
      <c r="FW203" s="168">
        <v>-21871</v>
      </c>
      <c r="FX203" s="168">
        <v>118954</v>
      </c>
      <c r="FY203" s="21"/>
      <c r="FZ203" s="21"/>
      <c r="GA203" s="21"/>
      <c r="GB203" s="21"/>
      <c r="GC203" s="21"/>
      <c r="GD203" s="21"/>
      <c r="GE203" s="21"/>
      <c r="GF203" s="21"/>
      <c r="GG203" s="21"/>
      <c r="GH203" s="21"/>
      <c r="GI203" s="21"/>
      <c r="GJ203" s="21"/>
      <c r="GK203" s="21"/>
      <c r="GL203" s="21"/>
      <c r="GM203" s="21"/>
      <c r="GN203" s="21"/>
      <c r="GO203" s="21"/>
      <c r="GP203" s="21"/>
      <c r="GQ203" s="21"/>
      <c r="GR203" s="21"/>
      <c r="GS203" s="21"/>
      <c r="GT203" s="21"/>
      <c r="GU203" s="168">
        <v>-226586</v>
      </c>
      <c r="GV203" s="168">
        <v>-245588</v>
      </c>
      <c r="GW203" s="168">
        <v>28198</v>
      </c>
      <c r="GX203" s="168">
        <v>27434</v>
      </c>
      <c r="GY203" s="21"/>
      <c r="GZ203" s="21"/>
      <c r="HA203" s="21"/>
      <c r="HB203" s="21"/>
      <c r="HC203" s="21"/>
      <c r="HD203" s="21"/>
      <c r="HE203" s="168">
        <v>57563</v>
      </c>
      <c r="HF203" s="168">
        <v>30473</v>
      </c>
      <c r="HG203" s="21"/>
      <c r="HH203" s="21"/>
      <c r="HI203" s="168">
        <v>9058398</v>
      </c>
      <c r="HJ203" s="168">
        <v>8293776</v>
      </c>
      <c r="HK203" s="21"/>
      <c r="HL203" s="21"/>
      <c r="HM203" s="21"/>
      <c r="HN203" s="21"/>
      <c r="HO203" s="168">
        <v>3251374</v>
      </c>
      <c r="HP203" s="168">
        <v>3181841</v>
      </c>
      <c r="HQ203" s="21"/>
      <c r="HR203" s="21"/>
      <c r="HS203" s="21"/>
      <c r="HT203" s="21"/>
      <c r="HU203" s="21"/>
      <c r="HV203" s="21"/>
      <c r="HW203" s="21"/>
      <c r="HX203" s="21"/>
      <c r="HY203" s="21"/>
      <c r="HZ203" s="21"/>
      <c r="IA203" s="21"/>
      <c r="IB203" s="21"/>
      <c r="IC203" s="21"/>
      <c r="ID203" s="21"/>
      <c r="IE203" s="168">
        <v>831166</v>
      </c>
      <c r="IF203" s="168">
        <v>633488</v>
      </c>
      <c r="IG203" s="21"/>
      <c r="IH203" s="21"/>
      <c r="II203" s="21"/>
      <c r="IJ203" s="21"/>
      <c r="IK203" s="21"/>
      <c r="IL203" s="21"/>
      <c r="IM203" s="21"/>
      <c r="IN203" s="21"/>
      <c r="IO203" s="21"/>
      <c r="IP203" s="21"/>
      <c r="IQ203" s="21"/>
      <c r="IR203" s="21"/>
      <c r="IS203" s="21"/>
      <c r="IT203" s="21"/>
      <c r="IU203" s="168">
        <v>327461</v>
      </c>
      <c r="IV203" s="168">
        <v>-1699</v>
      </c>
      <c r="IW203" s="168">
        <v>483492</v>
      </c>
      <c r="IX203" s="168">
        <v>-239638</v>
      </c>
      <c r="IY203" s="168">
        <v>-156031</v>
      </c>
      <c r="IZ203" s="168">
        <v>237939</v>
      </c>
      <c r="JA203" s="21"/>
      <c r="JB203" s="21"/>
      <c r="JC203" s="21"/>
      <c r="JD203" s="21"/>
      <c r="JE203" s="21"/>
      <c r="JF203" s="21"/>
      <c r="JG203" s="21"/>
      <c r="JH203" s="21"/>
      <c r="JI203" s="168">
        <v>296239775</v>
      </c>
      <c r="JJ203" s="168">
        <v>273954437</v>
      </c>
      <c r="JK203" s="168">
        <v>452961</v>
      </c>
      <c r="JL203" s="168">
        <v>68634</v>
      </c>
      <c r="JM203" s="168">
        <v>296723267</v>
      </c>
      <c r="JN203" s="168">
        <v>273714799</v>
      </c>
      <c r="JO203" s="168">
        <v>296930</v>
      </c>
      <c r="JP203" s="168">
        <v>306573</v>
      </c>
      <c r="JQ203" s="21"/>
      <c r="JR203" s="21"/>
      <c r="JS203" s="21"/>
      <c r="JT203" s="21"/>
      <c r="JU203" s="21"/>
      <c r="JV203" s="21"/>
      <c r="JW203" s="168">
        <v>287664869</v>
      </c>
      <c r="JX203" s="168">
        <v>265421023</v>
      </c>
      <c r="JY203" s="21"/>
      <c r="JZ203" s="21"/>
      <c r="KA203" s="21"/>
      <c r="KB203" s="21"/>
      <c r="KC203" s="21"/>
      <c r="KD203" s="21"/>
      <c r="KE203" s="21"/>
      <c r="KF203" s="21"/>
      <c r="KG203" s="21"/>
      <c r="KH203" s="21"/>
      <c r="KI203" s="21"/>
      <c r="KJ203" s="21"/>
      <c r="KK203" s="21"/>
      <c r="KL203" s="21"/>
      <c r="KM203" s="21"/>
      <c r="KN203" s="21"/>
      <c r="KO203" s="21"/>
      <c r="KP203" s="21"/>
      <c r="KQ203" s="168">
        <v>21488188</v>
      </c>
      <c r="KR203" s="168">
        <v>20399810</v>
      </c>
      <c r="KS203" s="21"/>
      <c r="KT203" s="21"/>
      <c r="KU203" s="21"/>
      <c r="KV203" s="21"/>
      <c r="KW203" s="21"/>
      <c r="KX203" s="21"/>
      <c r="KY203" s="21"/>
      <c r="KZ203" s="21"/>
      <c r="LA203" s="168">
        <v>1078803</v>
      </c>
      <c r="LB203" s="168">
        <v>1032903</v>
      </c>
      <c r="LC203" s="21"/>
      <c r="LD203" s="21"/>
      <c r="LE203" s="21"/>
      <c r="LF203" s="21"/>
      <c r="LG203" s="21"/>
      <c r="LH203" s="21"/>
      <c r="LI203" s="21"/>
      <c r="LJ203" s="21"/>
      <c r="LK203" s="168">
        <v>54257227</v>
      </c>
      <c r="LL203" s="168">
        <v>46410720</v>
      </c>
      <c r="LM203" s="21"/>
      <c r="LN203" s="21"/>
      <c r="LO203" s="21"/>
      <c r="LP203" s="21"/>
      <c r="LQ203" s="21"/>
      <c r="LR203" s="21"/>
      <c r="LS203" s="21"/>
      <c r="LT203" s="21"/>
      <c r="LU203" s="21"/>
      <c r="LV203" s="21"/>
      <c r="LW203" s="21"/>
      <c r="LX203" s="21"/>
      <c r="LY203" s="21"/>
      <c r="LZ203" s="21"/>
      <c r="MA203" s="21"/>
      <c r="MB203" s="21"/>
      <c r="MC203" s="168">
        <v>1785475</v>
      </c>
      <c r="MD203" s="168">
        <v>2150074</v>
      </c>
      <c r="ME203" s="21"/>
      <c r="MF203" s="21"/>
      <c r="MG203" s="21"/>
      <c r="MH203" s="21"/>
      <c r="MI203" s="21"/>
      <c r="MJ203" s="21"/>
      <c r="MK203" s="21"/>
      <c r="ML203" s="21"/>
      <c r="MM203" s="21"/>
      <c r="MN203" s="21"/>
      <c r="MO203" s="21"/>
      <c r="MP203" s="21"/>
      <c r="MQ203" s="168">
        <v>182745</v>
      </c>
      <c r="MR203" s="168">
        <v>166459</v>
      </c>
      <c r="MS203" s="21"/>
      <c r="MT203" s="21"/>
      <c r="MU203" s="21"/>
      <c r="MV203" s="21"/>
      <c r="MW203" s="21"/>
      <c r="MX203" s="21"/>
      <c r="MY203" s="21"/>
      <c r="MZ203" s="21"/>
      <c r="NA203" s="21"/>
      <c r="NB203" s="21"/>
      <c r="NC203" s="168">
        <v>125352</v>
      </c>
      <c r="ND203" s="168">
        <v>78757</v>
      </c>
      <c r="NE203" s="21"/>
      <c r="NF203" s="21"/>
      <c r="NG203" s="168">
        <v>2461686</v>
      </c>
      <c r="NH203" s="168">
        <v>2290434</v>
      </c>
      <c r="NI203" s="21"/>
      <c r="NJ203" s="21"/>
      <c r="NK203" s="21"/>
      <c r="NL203" s="21"/>
      <c r="NM203" s="168">
        <v>77530890</v>
      </c>
      <c r="NN203" s="168">
        <v>68960604</v>
      </c>
      <c r="NO203" s="168">
        <v>80175321</v>
      </c>
      <c r="NP203" s="168">
        <v>71417497</v>
      </c>
      <c r="NQ203" s="168" t="s">
        <v>1261</v>
      </c>
      <c r="NR203" s="168" t="s">
        <v>1226</v>
      </c>
      <c r="NS203" s="168" t="s">
        <v>770</v>
      </c>
      <c r="NT203" s="168" t="s">
        <v>771</v>
      </c>
      <c r="NU203" s="168">
        <v>5601</v>
      </c>
      <c r="NV203" s="168" t="s">
        <v>2104</v>
      </c>
      <c r="NW203" s="168" t="s">
        <v>28</v>
      </c>
      <c r="NX203" s="168" t="s">
        <v>25</v>
      </c>
      <c r="NY203" s="169">
        <v>42825</v>
      </c>
      <c r="NZ203" s="169">
        <v>42460</v>
      </c>
      <c r="OA203" s="169">
        <v>42999</v>
      </c>
      <c r="OB203" s="168" t="s">
        <v>1262</v>
      </c>
      <c r="OC203" s="168">
        <v>12</v>
      </c>
      <c r="OD203" s="168" t="s">
        <v>2105</v>
      </c>
      <c r="OE203" s="168" t="s">
        <v>2408</v>
      </c>
      <c r="OF203" s="168" t="s">
        <v>2409</v>
      </c>
      <c r="OG203" s="168" t="s">
        <v>1941</v>
      </c>
      <c r="OH203" s="168" t="s">
        <v>1031</v>
      </c>
      <c r="OI203" s="168" t="s">
        <v>766</v>
      </c>
      <c r="OJ203" s="168" t="s">
        <v>3240</v>
      </c>
      <c r="OK203" s="168" t="s">
        <v>1225</v>
      </c>
    </row>
    <row r="204" spans="1:401" x14ac:dyDescent="0.2">
      <c r="A204" s="170" t="str">
        <f>Liste[[#This Row],[Siren]]</f>
        <v>493180418</v>
      </c>
      <c r="B204" s="198" t="str">
        <f>Liste[[#This Row],[Dénomination]]&amp;" - comptes "&amp;YEAR(Liste[[#This Row],[Date de cloture de l''exercice]])</f>
        <v>CANACCORD GENUITY LIMITED - comptes 2017</v>
      </c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  <c r="FH204" s="21"/>
      <c r="FI204" s="21"/>
      <c r="FJ204" s="21"/>
      <c r="FK204" s="21"/>
      <c r="FL204" s="21"/>
      <c r="FM204" s="21"/>
      <c r="FN204" s="21"/>
      <c r="FO204" s="21"/>
      <c r="FP204" s="21"/>
      <c r="FQ204" s="21"/>
      <c r="FR204" s="21"/>
      <c r="FS204" s="21"/>
      <c r="FT204" s="21"/>
      <c r="FU204" s="21"/>
      <c r="FV204" s="21"/>
      <c r="FW204" s="21"/>
      <c r="FX204" s="21"/>
      <c r="FY204" s="21"/>
      <c r="FZ204" s="21"/>
      <c r="GA204" s="21"/>
      <c r="GB204" s="21"/>
      <c r="GC204" s="21"/>
      <c r="GD204" s="21"/>
      <c r="GE204" s="21"/>
      <c r="GF204" s="21"/>
      <c r="GG204" s="21"/>
      <c r="GH204" s="21"/>
      <c r="GI204" s="21"/>
      <c r="GJ204" s="21"/>
      <c r="GK204" s="21"/>
      <c r="GL204" s="21"/>
      <c r="GM204" s="21"/>
      <c r="GN204" s="21"/>
      <c r="GO204" s="21"/>
      <c r="GP204" s="21"/>
      <c r="GQ204" s="21"/>
      <c r="GR204" s="21"/>
      <c r="GS204" s="21"/>
      <c r="GT204" s="21"/>
      <c r="GU204" s="21"/>
      <c r="GV204" s="21"/>
      <c r="GW204" s="21"/>
      <c r="GX204" s="21"/>
      <c r="GY204" s="21"/>
      <c r="GZ204" s="21"/>
      <c r="HA204" s="21"/>
      <c r="HB204" s="21"/>
      <c r="HC204" s="21"/>
      <c r="HD204" s="21"/>
      <c r="HE204" s="21"/>
      <c r="HF204" s="21"/>
      <c r="HG204" s="21"/>
      <c r="HH204" s="21"/>
      <c r="HI204" s="21"/>
      <c r="HJ204" s="21"/>
      <c r="HK204" s="21"/>
      <c r="HL204" s="21"/>
      <c r="HM204" s="21"/>
      <c r="HN204" s="21"/>
      <c r="HO204" s="21"/>
      <c r="HP204" s="21"/>
      <c r="HQ204" s="21"/>
      <c r="HR204" s="21"/>
      <c r="HS204" s="21"/>
      <c r="HT204" s="21"/>
      <c r="HU204" s="21"/>
      <c r="HV204" s="21"/>
      <c r="HW204" s="21"/>
      <c r="HX204" s="21"/>
      <c r="HY204" s="21"/>
      <c r="HZ204" s="21"/>
      <c r="IA204" s="21"/>
      <c r="IB204" s="21"/>
      <c r="IC204" s="21"/>
      <c r="ID204" s="21"/>
      <c r="IE204" s="21"/>
      <c r="IF204" s="21"/>
      <c r="IG204" s="21"/>
      <c r="IH204" s="21"/>
      <c r="II204" s="21"/>
      <c r="IJ204" s="21"/>
      <c r="IK204" s="21"/>
      <c r="IL204" s="21"/>
      <c r="IM204" s="21"/>
      <c r="IN204" s="21"/>
      <c r="IO204" s="21"/>
      <c r="IP204" s="21"/>
      <c r="IQ204" s="21"/>
      <c r="IR204" s="21"/>
      <c r="IS204" s="21"/>
      <c r="IT204" s="21"/>
      <c r="IU204" s="21"/>
      <c r="IV204" s="21"/>
      <c r="IW204" s="21"/>
      <c r="IX204" s="21"/>
      <c r="IY204" s="21"/>
      <c r="IZ204" s="21"/>
      <c r="JA204" s="21"/>
      <c r="JB204" s="21"/>
      <c r="JC204" s="21"/>
      <c r="JD204" s="21"/>
      <c r="JE204" s="21"/>
      <c r="JF204" s="21"/>
      <c r="JG204" s="21"/>
      <c r="JH204" s="21"/>
      <c r="JI204" s="21"/>
      <c r="JJ204" s="21"/>
      <c r="JK204" s="21"/>
      <c r="JL204" s="21"/>
      <c r="JM204" s="21"/>
      <c r="JN204" s="21"/>
      <c r="JO204" s="21"/>
      <c r="JP204" s="21"/>
      <c r="JQ204" s="21"/>
      <c r="JR204" s="21"/>
      <c r="JS204" s="21"/>
      <c r="JT204" s="21"/>
      <c r="JU204" s="21"/>
      <c r="JV204" s="21"/>
      <c r="JW204" s="21"/>
      <c r="JX204" s="21"/>
      <c r="JY204" s="21"/>
      <c r="JZ204" s="21"/>
      <c r="KA204" s="21"/>
      <c r="KB204" s="21"/>
      <c r="KC204" s="21"/>
      <c r="KD204" s="21"/>
      <c r="KE204" s="21"/>
      <c r="KF204" s="21"/>
      <c r="KG204" s="21"/>
      <c r="KH204" s="21"/>
      <c r="KI204" s="21"/>
      <c r="KJ204" s="21"/>
      <c r="KK204" s="21"/>
      <c r="KL204" s="21"/>
      <c r="KM204" s="21"/>
      <c r="KN204" s="21"/>
      <c r="KO204" s="21"/>
      <c r="KP204" s="21"/>
      <c r="KQ204" s="21"/>
      <c r="KR204" s="21"/>
      <c r="KS204" s="21"/>
      <c r="KT204" s="21"/>
      <c r="KU204" s="21"/>
      <c r="KV204" s="21"/>
      <c r="KW204" s="21"/>
      <c r="KX204" s="21"/>
      <c r="KY204" s="21"/>
      <c r="KZ204" s="21"/>
      <c r="LA204" s="21"/>
      <c r="LB204" s="21"/>
      <c r="LC204" s="21"/>
      <c r="LD204" s="21"/>
      <c r="LE204" s="21"/>
      <c r="LF204" s="21"/>
      <c r="LG204" s="21"/>
      <c r="LH204" s="21"/>
      <c r="LI204" s="21"/>
      <c r="LJ204" s="21"/>
      <c r="LK204" s="21"/>
      <c r="LL204" s="21"/>
      <c r="LM204" s="21"/>
      <c r="LN204" s="21"/>
      <c r="LO204" s="21"/>
      <c r="LP204" s="21"/>
      <c r="LQ204" s="21"/>
      <c r="LR204" s="21"/>
      <c r="LS204" s="21"/>
      <c r="LT204" s="21"/>
      <c r="LU204" s="21"/>
      <c r="LV204" s="21"/>
      <c r="LW204" s="21"/>
      <c r="LX204" s="21"/>
      <c r="LY204" s="21"/>
      <c r="LZ204" s="21"/>
      <c r="MA204" s="21"/>
      <c r="MB204" s="21"/>
      <c r="MC204" s="21"/>
      <c r="MD204" s="21"/>
      <c r="ME204" s="21"/>
      <c r="MF204" s="21"/>
      <c r="MG204" s="21"/>
      <c r="MH204" s="21"/>
      <c r="MI204" s="21"/>
      <c r="MJ204" s="21"/>
      <c r="MK204" s="21"/>
      <c r="ML204" s="21"/>
      <c r="MM204" s="21"/>
      <c r="MN204" s="21"/>
      <c r="MO204" s="21"/>
      <c r="MP204" s="21"/>
      <c r="MQ204" s="21"/>
      <c r="MR204" s="21"/>
      <c r="MS204" s="21"/>
      <c r="MT204" s="21"/>
      <c r="MU204" s="21"/>
      <c r="MV204" s="21"/>
      <c r="MW204" s="21"/>
      <c r="MX204" s="21"/>
      <c r="MY204" s="21"/>
      <c r="MZ204" s="21"/>
      <c r="NA204" s="21"/>
      <c r="NB204" s="21"/>
      <c r="NC204" s="21"/>
      <c r="ND204" s="21"/>
      <c r="NE204" s="21"/>
      <c r="NF204" s="21"/>
      <c r="NG204" s="21"/>
      <c r="NH204" s="21"/>
      <c r="NI204" s="21"/>
      <c r="NJ204" s="21"/>
      <c r="NK204" s="21"/>
      <c r="NL204" s="21"/>
      <c r="NM204" s="21"/>
      <c r="NN204" s="21"/>
      <c r="NO204" s="21"/>
      <c r="NP204" s="21"/>
      <c r="NQ204" s="168" t="s">
        <v>1263</v>
      </c>
      <c r="NR204" s="168" t="s">
        <v>1004</v>
      </c>
      <c r="NS204" s="168" t="s">
        <v>770</v>
      </c>
      <c r="NT204" s="168" t="s">
        <v>771</v>
      </c>
      <c r="NU204" s="168">
        <v>7501</v>
      </c>
      <c r="NV204" s="168" t="s">
        <v>2175</v>
      </c>
      <c r="NW204" s="168" t="s">
        <v>28</v>
      </c>
      <c r="NX204" s="168" t="s">
        <v>25</v>
      </c>
      <c r="NY204" s="169">
        <v>42825</v>
      </c>
      <c r="NZ204" s="169">
        <v>42460</v>
      </c>
      <c r="OA204" s="169">
        <v>43000</v>
      </c>
      <c r="OB204" s="168" t="s">
        <v>1264</v>
      </c>
      <c r="OC204" s="168">
        <v>12</v>
      </c>
      <c r="OD204" s="168" t="s">
        <v>2105</v>
      </c>
      <c r="OE204" s="168" t="s">
        <v>2410</v>
      </c>
      <c r="OF204" s="168" t="s">
        <v>2411</v>
      </c>
      <c r="OG204" s="168" t="s">
        <v>1942</v>
      </c>
      <c r="OH204" s="168" t="s">
        <v>765</v>
      </c>
      <c r="OI204" s="168" t="s">
        <v>825</v>
      </c>
      <c r="OJ204" s="168" t="s">
        <v>3249</v>
      </c>
      <c r="OK204" s="168" t="s">
        <v>1003</v>
      </c>
    </row>
    <row r="205" spans="1:401" x14ac:dyDescent="0.2">
      <c r="A205" s="170" t="str">
        <f>Liste[[#This Row],[Siren]]</f>
        <v>339796617</v>
      </c>
      <c r="B205" s="198" t="str">
        <f>Liste[[#This Row],[Dénomination]]&amp;" - comptes "&amp;YEAR(Liste[[#This Row],[Date de cloture de l''exercice]])</f>
        <v>SD SERVICES - comptes 2017</v>
      </c>
      <c r="C205" s="21"/>
      <c r="D205" s="21"/>
      <c r="E205" s="21"/>
      <c r="F205" s="168">
        <v>2247677</v>
      </c>
      <c r="G205" s="168">
        <v>675389</v>
      </c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168">
        <v>13847985</v>
      </c>
      <c r="BE205" s="168">
        <v>11115682</v>
      </c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168">
        <v>2551592</v>
      </c>
      <c r="BY205" s="168">
        <v>3891193</v>
      </c>
      <c r="BZ205" s="21"/>
      <c r="CA205" s="21"/>
      <c r="CB205" s="21"/>
      <c r="CC205" s="21"/>
      <c r="CD205" s="21"/>
      <c r="CE205" s="168">
        <v>5247593</v>
      </c>
      <c r="CF205" s="168">
        <v>6297111</v>
      </c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168">
        <v>19983219</v>
      </c>
      <c r="EM205" s="168">
        <v>17907303</v>
      </c>
      <c r="EN205" s="21"/>
      <c r="EO205" s="21"/>
      <c r="EP205" s="168">
        <v>21601448</v>
      </c>
      <c r="EQ205" s="168">
        <v>18668028</v>
      </c>
      <c r="ER205" s="21"/>
      <c r="ES205" s="21"/>
      <c r="ET205" s="168">
        <v>41584668</v>
      </c>
      <c r="EU205" s="168">
        <v>36575330</v>
      </c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168">
        <v>300000</v>
      </c>
      <c r="FG205" s="168">
        <v>450000</v>
      </c>
      <c r="FH205" s="21"/>
      <c r="FI205" s="168">
        <v>92812</v>
      </c>
      <c r="FJ205" s="168">
        <v>18982</v>
      </c>
      <c r="FK205" s="21"/>
      <c r="FL205" s="21"/>
      <c r="FM205" s="21"/>
      <c r="FN205" s="21"/>
      <c r="FO205" s="21"/>
      <c r="FP205" s="21"/>
      <c r="FQ205" s="168">
        <v>-1049518</v>
      </c>
      <c r="FR205" s="168">
        <v>-1049518</v>
      </c>
      <c r="FS205" s="21"/>
      <c r="FT205" s="21"/>
      <c r="FU205" s="21"/>
      <c r="FV205" s="21"/>
      <c r="FW205" s="168">
        <v>-997339</v>
      </c>
      <c r="FX205" s="168">
        <v>-1245230</v>
      </c>
      <c r="FY205" s="168">
        <v>-40200</v>
      </c>
      <c r="FZ205" s="168">
        <v>-19224</v>
      </c>
      <c r="GA205" s="168">
        <v>-413755</v>
      </c>
      <c r="GB205" s="168">
        <v>-691630</v>
      </c>
      <c r="GC205" s="21"/>
      <c r="GD205" s="21"/>
      <c r="GE205" s="21"/>
      <c r="GF205" s="21"/>
      <c r="GG205" s="21"/>
      <c r="GH205" s="21"/>
      <c r="GI205" s="21"/>
      <c r="GJ205" s="21"/>
      <c r="GK205" s="21"/>
      <c r="GL205" s="21"/>
      <c r="GM205" s="168">
        <v>1116049</v>
      </c>
      <c r="GN205" s="168">
        <v>1872591</v>
      </c>
      <c r="GO205" s="168">
        <v>2164567</v>
      </c>
      <c r="GP205" s="168">
        <v>2922109</v>
      </c>
      <c r="GQ205" s="21"/>
      <c r="GR205" s="21"/>
      <c r="GS205" s="168">
        <v>1155249</v>
      </c>
      <c r="GT205" s="168">
        <v>1891815</v>
      </c>
      <c r="GU205" s="168">
        <v>27801</v>
      </c>
      <c r="GV205" s="168">
        <v>25548</v>
      </c>
      <c r="GW205" s="168">
        <v>120614</v>
      </c>
      <c r="GX205" s="168">
        <v>44530</v>
      </c>
      <c r="GY205" s="21"/>
      <c r="GZ205" s="21"/>
      <c r="HA205" s="21"/>
      <c r="HB205" s="21"/>
      <c r="HC205" s="168">
        <v>6352233</v>
      </c>
      <c r="HD205" s="168">
        <v>4993375</v>
      </c>
      <c r="HE205" s="21"/>
      <c r="HF205" s="21"/>
      <c r="HG205" s="21"/>
      <c r="HH205" s="21"/>
      <c r="HI205" s="168">
        <v>221281</v>
      </c>
      <c r="HJ205" s="168">
        <v>513602</v>
      </c>
      <c r="HK205" s="21"/>
      <c r="HL205" s="21"/>
      <c r="HM205" s="21"/>
      <c r="HN205" s="21"/>
      <c r="HO205" s="21"/>
      <c r="HP205" s="21"/>
      <c r="HQ205" s="21"/>
      <c r="HR205" s="21"/>
      <c r="HS205" s="21"/>
      <c r="HT205" s="21"/>
      <c r="HU205" s="21"/>
      <c r="HV205" s="21"/>
      <c r="HW205" s="21"/>
      <c r="HX205" s="21"/>
      <c r="HY205" s="21"/>
      <c r="HZ205" s="21"/>
      <c r="IA205" s="21"/>
      <c r="IB205" s="21"/>
      <c r="IC205" s="21"/>
      <c r="ID205" s="21"/>
      <c r="IE205" s="168">
        <v>1010132</v>
      </c>
      <c r="IF205" s="168">
        <v>890934</v>
      </c>
      <c r="IG205" s="21"/>
      <c r="IH205" s="21"/>
      <c r="II205" s="21"/>
      <c r="IJ205" s="21"/>
      <c r="IK205" s="21"/>
      <c r="IL205" s="21"/>
      <c r="IM205" s="21"/>
      <c r="IN205" s="21"/>
      <c r="IO205" s="21"/>
      <c r="IP205" s="21"/>
      <c r="IQ205" s="21"/>
      <c r="IR205" s="21"/>
      <c r="IS205" s="21"/>
      <c r="IT205" s="21"/>
      <c r="IU205" s="168">
        <v>3482848</v>
      </c>
      <c r="IV205" s="168">
        <v>4839987</v>
      </c>
      <c r="IW205" s="168">
        <v>3737444</v>
      </c>
      <c r="IX205" s="168">
        <v>5181058</v>
      </c>
      <c r="IY205" s="168">
        <v>-264596</v>
      </c>
      <c r="IZ205" s="168">
        <v>-341071</v>
      </c>
      <c r="JA205" s="21"/>
      <c r="JB205" s="21"/>
      <c r="JC205" s="21"/>
      <c r="JD205" s="21"/>
      <c r="JE205" s="168">
        <v>30413732</v>
      </c>
      <c r="JF205" s="168">
        <v>27017672</v>
      </c>
      <c r="JG205" s="21"/>
      <c r="JH205" s="21"/>
      <c r="JI205" s="168">
        <v>46735696</v>
      </c>
      <c r="JJ205" s="168">
        <v>38892753</v>
      </c>
      <c r="JK205" s="168">
        <v>356035</v>
      </c>
      <c r="JL205" s="168">
        <v>424417</v>
      </c>
      <c r="JM205" s="168">
        <v>50473040</v>
      </c>
      <c r="JN205" s="168">
        <v>44073811</v>
      </c>
      <c r="JO205" s="168">
        <v>101439</v>
      </c>
      <c r="JP205" s="168">
        <v>83345</v>
      </c>
      <c r="JQ205" s="21"/>
      <c r="JR205" s="21"/>
      <c r="JS205" s="21"/>
      <c r="JT205" s="21"/>
      <c r="JU205" s="21"/>
      <c r="JV205" s="21"/>
      <c r="JW205" s="168">
        <v>50251759</v>
      </c>
      <c r="JX205" s="168">
        <v>43560209</v>
      </c>
      <c r="JY205" s="21"/>
      <c r="JZ205" s="21"/>
      <c r="KA205" s="21"/>
      <c r="KB205" s="21"/>
      <c r="KC205" s="21"/>
      <c r="KD205" s="21"/>
      <c r="KE205" s="21"/>
      <c r="KF205" s="21"/>
      <c r="KG205" s="21"/>
      <c r="KH205" s="21"/>
      <c r="KI205" s="21"/>
      <c r="KJ205" s="21"/>
      <c r="KK205" s="21"/>
      <c r="KL205" s="21"/>
      <c r="KM205" s="21"/>
      <c r="KN205" s="21"/>
      <c r="KO205" s="21"/>
      <c r="KP205" s="21"/>
      <c r="KQ205" s="21"/>
      <c r="KR205" s="21"/>
      <c r="KS205" s="21"/>
      <c r="KT205" s="21"/>
      <c r="KU205" s="21"/>
      <c r="KV205" s="21"/>
      <c r="KW205" s="21"/>
      <c r="KX205" s="21"/>
      <c r="KY205" s="21"/>
      <c r="KZ205" s="21"/>
      <c r="LA205" s="168">
        <v>11315040</v>
      </c>
      <c r="LB205" s="168">
        <v>10765040</v>
      </c>
      <c r="LC205" s="21"/>
      <c r="LD205" s="21"/>
      <c r="LE205" s="21"/>
      <c r="LF205" s="21"/>
      <c r="LG205" s="21"/>
      <c r="LH205" s="21"/>
      <c r="LI205" s="21"/>
      <c r="LJ205" s="21"/>
      <c r="LK205" s="168">
        <v>5930424</v>
      </c>
      <c r="LL205" s="168">
        <v>3939295</v>
      </c>
      <c r="LM205" s="21"/>
      <c r="LN205" s="21"/>
      <c r="LO205" s="21"/>
      <c r="LP205" s="21"/>
      <c r="LQ205" s="21"/>
      <c r="LR205" s="21"/>
      <c r="LS205" s="21"/>
      <c r="LT205" s="21"/>
      <c r="LU205" s="21"/>
      <c r="LV205" s="21"/>
      <c r="LW205" s="21"/>
      <c r="LX205" s="21"/>
      <c r="LY205" s="21"/>
      <c r="LZ205" s="21"/>
      <c r="MA205" s="21"/>
      <c r="MB205" s="21"/>
      <c r="MC205" s="168">
        <v>14002646</v>
      </c>
      <c r="MD205" s="168">
        <v>12670289</v>
      </c>
      <c r="ME205" s="21"/>
      <c r="MF205" s="21"/>
      <c r="MG205" s="21"/>
      <c r="MH205" s="21"/>
      <c r="MI205" s="21"/>
      <c r="MJ205" s="21"/>
      <c r="MK205" s="21"/>
      <c r="ML205" s="21"/>
      <c r="MM205" s="21"/>
      <c r="MN205" s="21"/>
      <c r="MO205" s="21"/>
      <c r="MP205" s="21"/>
      <c r="MQ205" s="21"/>
      <c r="MR205" s="21"/>
      <c r="MS205" s="21"/>
      <c r="MT205" s="21"/>
      <c r="MU205" s="21"/>
      <c r="MV205" s="21"/>
      <c r="MW205" s="21"/>
      <c r="MX205" s="21"/>
      <c r="MY205" s="21"/>
      <c r="MZ205" s="21"/>
      <c r="NA205" s="21"/>
      <c r="NB205" s="21"/>
      <c r="NC205" s="168">
        <v>1155249</v>
      </c>
      <c r="ND205" s="168">
        <v>1891815</v>
      </c>
      <c r="NE205" s="21"/>
      <c r="NF205" s="21"/>
      <c r="NG205" s="168">
        <v>15276992</v>
      </c>
      <c r="NH205" s="168">
        <v>14121744</v>
      </c>
      <c r="NI205" s="21"/>
      <c r="NJ205" s="21"/>
      <c r="NK205" s="21"/>
      <c r="NL205" s="21"/>
      <c r="NM205" s="168">
        <v>26216742</v>
      </c>
      <c r="NN205" s="168">
        <v>22320385</v>
      </c>
      <c r="NO205" s="168">
        <v>41584688</v>
      </c>
      <c r="NP205" s="168">
        <v>36575330</v>
      </c>
      <c r="NQ205" s="168" t="s">
        <v>1417</v>
      </c>
      <c r="NR205" s="168" t="s">
        <v>1418</v>
      </c>
      <c r="NS205" s="168" t="s">
        <v>770</v>
      </c>
      <c r="NT205" s="168" t="s">
        <v>771</v>
      </c>
      <c r="NU205" s="168">
        <v>3801</v>
      </c>
      <c r="NV205" s="168" t="s">
        <v>2104</v>
      </c>
      <c r="NW205" s="168" t="s">
        <v>28</v>
      </c>
      <c r="NX205" s="168" t="s">
        <v>25</v>
      </c>
      <c r="NY205" s="169">
        <v>42825</v>
      </c>
      <c r="NZ205" s="21"/>
      <c r="OA205" s="169">
        <v>43012</v>
      </c>
      <c r="OB205" s="168" t="s">
        <v>1419</v>
      </c>
      <c r="OC205" s="168">
        <v>12</v>
      </c>
      <c r="OD205" s="168" t="s">
        <v>2105</v>
      </c>
      <c r="OE205" s="168" t="s">
        <v>1420</v>
      </c>
      <c r="OF205" s="168" t="s">
        <v>2525</v>
      </c>
      <c r="OG205" s="168" t="s">
        <v>2009</v>
      </c>
      <c r="OH205" s="168" t="s">
        <v>833</v>
      </c>
      <c r="OI205" s="168" t="s">
        <v>766</v>
      </c>
      <c r="OJ205" s="168" t="s">
        <v>3240</v>
      </c>
      <c r="OK205" s="168" t="s">
        <v>1416</v>
      </c>
    </row>
    <row r="206" spans="1:401" x14ac:dyDescent="0.2">
      <c r="A206" s="170" t="str">
        <f>Liste[[#This Row],[Siren]]</f>
        <v>348511585</v>
      </c>
      <c r="B206" s="198" t="str">
        <f>Liste[[#This Row],[Dénomination]]&amp;" - comptes "&amp;YEAR(Liste[[#This Row],[Date de cloture de l''exercice]])</f>
        <v>ESPACE 4 - comptes 2017</v>
      </c>
      <c r="C206" s="21"/>
      <c r="D206" s="21"/>
      <c r="E206" s="21"/>
      <c r="F206" s="168">
        <v>847209</v>
      </c>
      <c r="G206" s="168">
        <v>1194587</v>
      </c>
      <c r="H206" s="21"/>
      <c r="I206" s="21"/>
      <c r="J206" s="21"/>
      <c r="K206" s="21"/>
      <c r="L206" s="21"/>
      <c r="M206" s="21"/>
      <c r="N206" s="168">
        <v>118343</v>
      </c>
      <c r="O206" s="168">
        <v>117784</v>
      </c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168">
        <v>10535087</v>
      </c>
      <c r="BE206" s="168">
        <v>15207410</v>
      </c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168">
        <v>5709407</v>
      </c>
      <c r="BY206" s="168">
        <v>4810132</v>
      </c>
      <c r="BZ206" s="21"/>
      <c r="CA206" s="21"/>
      <c r="CB206" s="21"/>
      <c r="CC206" s="21"/>
      <c r="CD206" s="21"/>
      <c r="CE206" s="168">
        <v>2089099</v>
      </c>
      <c r="CF206" s="168">
        <v>2321221</v>
      </c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168">
        <v>2985777</v>
      </c>
      <c r="EM206" s="168">
        <v>3171149</v>
      </c>
      <c r="EN206" s="21"/>
      <c r="EO206" s="21"/>
      <c r="EP206" s="168">
        <v>28272700</v>
      </c>
      <c r="EQ206" s="168">
        <v>31801316</v>
      </c>
      <c r="ER206" s="21"/>
      <c r="ES206" s="21"/>
      <c r="ET206" s="168">
        <v>31258477</v>
      </c>
      <c r="EU206" s="168">
        <v>34972465</v>
      </c>
      <c r="EV206" s="21"/>
      <c r="EW206" s="21"/>
      <c r="EX206" s="21"/>
      <c r="EY206" s="21"/>
      <c r="EZ206" s="21"/>
      <c r="FA206" s="21"/>
      <c r="FB206" s="21"/>
      <c r="FC206" s="21"/>
      <c r="FD206" s="21"/>
      <c r="FE206" s="21"/>
      <c r="FF206" s="168">
        <v>6896437</v>
      </c>
      <c r="FG206" s="168">
        <v>6297861</v>
      </c>
      <c r="FH206" s="21"/>
      <c r="FI206" s="168">
        <v>-93314</v>
      </c>
      <c r="FJ206" s="168">
        <v>-70338</v>
      </c>
      <c r="FK206" s="21"/>
      <c r="FL206" s="21"/>
      <c r="FM206" s="21"/>
      <c r="FN206" s="21"/>
      <c r="FO206" s="21"/>
      <c r="FP206" s="21"/>
      <c r="FQ206" s="168">
        <v>232122</v>
      </c>
      <c r="FR206" s="168">
        <v>607469</v>
      </c>
      <c r="FS206" s="21"/>
      <c r="FT206" s="21"/>
      <c r="FU206" s="168">
        <v>-503</v>
      </c>
      <c r="FV206" s="168">
        <v>12400</v>
      </c>
      <c r="FW206" s="168">
        <v>1223602</v>
      </c>
      <c r="FX206" s="168">
        <v>1475622</v>
      </c>
      <c r="FY206" s="21"/>
      <c r="FZ206" s="21"/>
      <c r="GA206" s="21"/>
      <c r="GB206" s="21"/>
      <c r="GC206" s="21"/>
      <c r="GD206" s="21"/>
      <c r="GE206" s="21"/>
      <c r="GF206" s="21"/>
      <c r="GG206" s="21"/>
      <c r="GH206" s="21"/>
      <c r="GI206" s="21"/>
      <c r="GJ206" s="21"/>
      <c r="GK206" s="21"/>
      <c r="GL206" s="21"/>
      <c r="GM206" s="168">
        <v>2348248</v>
      </c>
      <c r="GN206" s="168">
        <v>2477074</v>
      </c>
      <c r="GO206" s="168">
        <v>2580370</v>
      </c>
      <c r="GP206" s="168">
        <v>3084543</v>
      </c>
      <c r="GQ206" s="21"/>
      <c r="GR206" s="21"/>
      <c r="GS206" s="168">
        <v>2348248</v>
      </c>
      <c r="GT206" s="168">
        <v>2477074</v>
      </c>
      <c r="GU206" s="21"/>
      <c r="GV206" s="21"/>
      <c r="GW206" s="21"/>
      <c r="GX206" s="21"/>
      <c r="GY206" s="21"/>
      <c r="GZ206" s="21"/>
      <c r="HA206" s="168">
        <v>4393410</v>
      </c>
      <c r="HB206" s="168">
        <v>4532775</v>
      </c>
      <c r="HC206" s="168">
        <v>35909459</v>
      </c>
      <c r="HD206" s="168">
        <v>35480969</v>
      </c>
      <c r="HE206" s="168">
        <v>37888</v>
      </c>
      <c r="HF206" s="168">
        <v>4178</v>
      </c>
      <c r="HG206" s="21"/>
      <c r="HH206" s="21"/>
      <c r="HI206" s="168">
        <v>299875</v>
      </c>
      <c r="HJ206" s="168">
        <v>273640</v>
      </c>
      <c r="HK206" s="21"/>
      <c r="HL206" s="21"/>
      <c r="HM206" s="21"/>
      <c r="HN206" s="21"/>
      <c r="HO206" s="21"/>
      <c r="HP206" s="21"/>
      <c r="HQ206" s="21"/>
      <c r="HR206" s="21"/>
      <c r="HS206" s="21"/>
      <c r="HT206" s="21"/>
      <c r="HU206" s="21"/>
      <c r="HV206" s="21"/>
      <c r="HW206" s="21"/>
      <c r="HX206" s="21"/>
      <c r="HY206" s="21"/>
      <c r="HZ206" s="21"/>
      <c r="IA206" s="21"/>
      <c r="IB206" s="21"/>
      <c r="IC206" s="21"/>
      <c r="ID206" s="21"/>
      <c r="IE206" s="168">
        <v>476849</v>
      </c>
      <c r="IF206" s="168">
        <v>396418</v>
      </c>
      <c r="IG206" s="21"/>
      <c r="IH206" s="21"/>
      <c r="II206" s="21"/>
      <c r="IJ206" s="21"/>
      <c r="IK206" s="21"/>
      <c r="IL206" s="21"/>
      <c r="IM206" s="168">
        <v>49125</v>
      </c>
      <c r="IN206" s="168">
        <v>1184562</v>
      </c>
      <c r="IO206" s="21"/>
      <c r="IP206" s="21"/>
      <c r="IQ206" s="21"/>
      <c r="IR206" s="21"/>
      <c r="IS206" s="21"/>
      <c r="IT206" s="21"/>
      <c r="IU206" s="168">
        <v>3896783</v>
      </c>
      <c r="IV206" s="168">
        <v>4642903</v>
      </c>
      <c r="IW206" s="168">
        <v>2848636</v>
      </c>
      <c r="IX206" s="168">
        <v>3589849</v>
      </c>
      <c r="IY206" s="168">
        <v>1048147</v>
      </c>
      <c r="IZ206" s="168">
        <v>1053054</v>
      </c>
      <c r="JA206" s="21"/>
      <c r="JB206" s="21"/>
      <c r="JC206" s="21"/>
      <c r="JD206" s="21"/>
      <c r="JE206" s="168">
        <v>7210486</v>
      </c>
      <c r="JF206" s="168">
        <v>6665573</v>
      </c>
      <c r="JG206" s="21"/>
      <c r="JH206" s="21"/>
      <c r="JI206" s="21"/>
      <c r="JJ206" s="21"/>
      <c r="JK206" s="168">
        <v>30878</v>
      </c>
      <c r="JL206" s="168">
        <v>42356</v>
      </c>
      <c r="JM206" s="168">
        <v>51421709</v>
      </c>
      <c r="JN206" s="168">
        <v>51125957</v>
      </c>
      <c r="JO206" s="168">
        <v>1079025</v>
      </c>
      <c r="JP206" s="168">
        <v>1095410</v>
      </c>
      <c r="JQ206" s="21"/>
      <c r="JR206" s="21"/>
      <c r="JS206" s="21"/>
      <c r="JT206" s="21"/>
      <c r="JU206" s="21"/>
      <c r="JV206" s="21"/>
      <c r="JW206" s="168">
        <v>51170959</v>
      </c>
      <c r="JX206" s="168">
        <v>49667755</v>
      </c>
      <c r="JY206" s="21"/>
      <c r="JZ206" s="21"/>
      <c r="KA206" s="21"/>
      <c r="KB206" s="21"/>
      <c r="KC206" s="21"/>
      <c r="KD206" s="21"/>
      <c r="KE206" s="21"/>
      <c r="KF206" s="21"/>
      <c r="KG206" s="21"/>
      <c r="KH206" s="21"/>
      <c r="KI206" s="21"/>
      <c r="KJ206" s="21"/>
      <c r="KK206" s="21"/>
      <c r="KL206" s="21"/>
      <c r="KM206" s="21"/>
      <c r="KN206" s="21"/>
      <c r="KO206" s="21"/>
      <c r="KP206" s="21"/>
      <c r="KQ206" s="168">
        <v>5806818</v>
      </c>
      <c r="KR206" s="168">
        <v>6999126</v>
      </c>
      <c r="KS206" s="21"/>
      <c r="KT206" s="21"/>
      <c r="KU206" s="21"/>
      <c r="KV206" s="21"/>
      <c r="KW206" s="21"/>
      <c r="KX206" s="21"/>
      <c r="KY206" s="21"/>
      <c r="KZ206" s="21"/>
      <c r="LA206" s="168">
        <v>1000000</v>
      </c>
      <c r="LB206" s="168">
        <v>293160</v>
      </c>
      <c r="LC206" s="21"/>
      <c r="LD206" s="21"/>
      <c r="LE206" s="21"/>
      <c r="LF206" s="21"/>
      <c r="LG206" s="21"/>
      <c r="LH206" s="21"/>
      <c r="LI206" s="168">
        <v>3286209</v>
      </c>
      <c r="LJ206" s="168">
        <v>5202744</v>
      </c>
      <c r="LK206" s="168">
        <v>3532799</v>
      </c>
      <c r="LL206" s="168">
        <v>4969528</v>
      </c>
      <c r="LM206" s="21"/>
      <c r="LN206" s="21"/>
      <c r="LO206" s="21"/>
      <c r="LP206" s="21"/>
      <c r="LQ206" s="21"/>
      <c r="LR206" s="21"/>
      <c r="LS206" s="21"/>
      <c r="LT206" s="21"/>
      <c r="LU206" s="21"/>
      <c r="LV206" s="21"/>
      <c r="LW206" s="21"/>
      <c r="LX206" s="21"/>
      <c r="LY206" s="21"/>
      <c r="LZ206" s="21"/>
      <c r="MA206" s="21"/>
      <c r="MB206" s="21"/>
      <c r="MC206" s="168">
        <v>1440001</v>
      </c>
      <c r="MD206" s="168">
        <v>1958454</v>
      </c>
      <c r="ME206" s="21"/>
      <c r="MF206" s="21"/>
      <c r="MG206" s="21"/>
      <c r="MH206" s="21"/>
      <c r="MI206" s="168">
        <v>143451</v>
      </c>
      <c r="MJ206" s="168">
        <v>143451</v>
      </c>
      <c r="MK206" s="21"/>
      <c r="ML206" s="21"/>
      <c r="MM206" s="21"/>
      <c r="MN206" s="21"/>
      <c r="MO206" s="21"/>
      <c r="MP206" s="21"/>
      <c r="MQ206" s="21"/>
      <c r="MR206" s="21"/>
      <c r="MS206" s="21"/>
      <c r="MT206" s="21"/>
      <c r="MU206" s="21"/>
      <c r="MV206" s="21"/>
      <c r="MW206" s="21"/>
      <c r="MX206" s="21"/>
      <c r="MY206" s="21"/>
      <c r="MZ206" s="21"/>
      <c r="NA206" s="21"/>
      <c r="NB206" s="21"/>
      <c r="NC206" s="168">
        <v>15417817</v>
      </c>
      <c r="ND206" s="168">
        <v>14675434</v>
      </c>
      <c r="NE206" s="21"/>
      <c r="NF206" s="21"/>
      <c r="NG206" s="168">
        <v>16561268</v>
      </c>
      <c r="NH206" s="168">
        <v>15112045</v>
      </c>
      <c r="NI206" s="21"/>
      <c r="NJ206" s="21"/>
      <c r="NK206" s="21"/>
      <c r="NL206" s="21"/>
      <c r="NM206" s="168">
        <v>14697209</v>
      </c>
      <c r="NN206" s="168">
        <v>19860420</v>
      </c>
      <c r="NO206" s="168">
        <v>31258477</v>
      </c>
      <c r="NP206" s="168">
        <v>34972465</v>
      </c>
      <c r="NQ206" s="168" t="s">
        <v>1422</v>
      </c>
      <c r="NR206" s="168" t="s">
        <v>1423</v>
      </c>
      <c r="NS206" s="168" t="s">
        <v>770</v>
      </c>
      <c r="NT206" s="168" t="s">
        <v>771</v>
      </c>
      <c r="NU206" s="168">
        <v>3801</v>
      </c>
      <c r="NV206" s="168" t="s">
        <v>2104</v>
      </c>
      <c r="NW206" s="168" t="s">
        <v>28</v>
      </c>
      <c r="NX206" s="168" t="s">
        <v>25</v>
      </c>
      <c r="NY206" s="169">
        <v>42825</v>
      </c>
      <c r="NZ206" s="169">
        <v>42460</v>
      </c>
      <c r="OA206" s="169">
        <v>43018</v>
      </c>
      <c r="OB206" s="168" t="s">
        <v>1424</v>
      </c>
      <c r="OC206" s="168">
        <v>12</v>
      </c>
      <c r="OD206" s="168" t="s">
        <v>2105</v>
      </c>
      <c r="OE206" s="168" t="s">
        <v>1425</v>
      </c>
      <c r="OF206" s="168" t="s">
        <v>2526</v>
      </c>
      <c r="OG206" s="168" t="s">
        <v>2010</v>
      </c>
      <c r="OH206" s="168" t="s">
        <v>833</v>
      </c>
      <c r="OI206" s="168" t="s">
        <v>766</v>
      </c>
      <c r="OJ206" s="168" t="s">
        <v>3240</v>
      </c>
      <c r="OK206" s="168" t="s">
        <v>1421</v>
      </c>
    </row>
    <row r="207" spans="1:401" x14ac:dyDescent="0.2">
      <c r="A207" s="170" t="str">
        <f>Liste[[#This Row],[Siren]]</f>
        <v>399377688</v>
      </c>
      <c r="B207" s="198" t="str">
        <f>Liste[[#This Row],[Dénomination]]&amp;" - comptes "&amp;YEAR(Liste[[#This Row],[Date de cloture de l''exercice]])</f>
        <v>PROJEVIA - comptes 2017</v>
      </c>
      <c r="C207" s="21"/>
      <c r="D207" s="21"/>
      <c r="E207" s="21"/>
      <c r="F207" s="168">
        <v>1851000</v>
      </c>
      <c r="G207" s="168">
        <v>1840000</v>
      </c>
      <c r="H207" s="168">
        <v>1851000</v>
      </c>
      <c r="I207" s="168">
        <v>7396000</v>
      </c>
      <c r="J207" s="168">
        <v>3099000</v>
      </c>
      <c r="K207" s="168">
        <v>2816000</v>
      </c>
      <c r="L207" s="168">
        <v>10495000</v>
      </c>
      <c r="M207" s="168">
        <v>31000</v>
      </c>
      <c r="N207" s="168">
        <v>913000</v>
      </c>
      <c r="O207" s="168">
        <v>843000</v>
      </c>
      <c r="P207" s="168">
        <v>944000</v>
      </c>
      <c r="Q207" s="168">
        <v>79000</v>
      </c>
      <c r="R207" s="21"/>
      <c r="S207" s="21"/>
      <c r="T207" s="168">
        <v>79000</v>
      </c>
      <c r="U207" s="21"/>
      <c r="V207" s="21"/>
      <c r="W207" s="21"/>
      <c r="X207" s="21"/>
      <c r="Y207" s="21"/>
      <c r="Z207" s="168">
        <v>20000</v>
      </c>
      <c r="AA207" s="168">
        <v>20000</v>
      </c>
      <c r="AB207" s="168">
        <v>20000</v>
      </c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168">
        <v>144000</v>
      </c>
      <c r="BA207" s="168">
        <v>154000</v>
      </c>
      <c r="BB207" s="168">
        <v>144000</v>
      </c>
      <c r="BC207" s="168">
        <v>392000</v>
      </c>
      <c r="BD207" s="168">
        <v>14574000</v>
      </c>
      <c r="BE207" s="168">
        <v>14007000</v>
      </c>
      <c r="BF207" s="168">
        <v>14967000</v>
      </c>
      <c r="BG207" s="168">
        <v>1402000</v>
      </c>
      <c r="BH207" s="168">
        <v>148000</v>
      </c>
      <c r="BI207" s="168">
        <v>109000</v>
      </c>
      <c r="BJ207" s="168">
        <v>1551000</v>
      </c>
      <c r="BK207" s="168">
        <v>8941000</v>
      </c>
      <c r="BL207" s="168">
        <v>2010000</v>
      </c>
      <c r="BM207" s="168">
        <v>2240000</v>
      </c>
      <c r="BN207" s="168">
        <v>10951000</v>
      </c>
      <c r="BO207" s="21"/>
      <c r="BP207" s="21"/>
      <c r="BQ207" s="21"/>
      <c r="BR207" s="21"/>
      <c r="BS207" s="21"/>
      <c r="BT207" s="21"/>
      <c r="BU207" s="21"/>
      <c r="BV207" s="21"/>
      <c r="BW207" s="21"/>
      <c r="BX207" s="168">
        <v>2440000</v>
      </c>
      <c r="BY207" s="168">
        <v>2456000</v>
      </c>
      <c r="BZ207" s="168">
        <v>2440000</v>
      </c>
      <c r="CA207" s="21"/>
      <c r="CB207" s="21"/>
      <c r="CC207" s="21"/>
      <c r="CD207" s="168">
        <v>3446000</v>
      </c>
      <c r="CE207" s="21"/>
      <c r="CF207" s="21"/>
      <c r="CG207" s="168">
        <v>3446000</v>
      </c>
      <c r="CH207" s="168">
        <v>204000</v>
      </c>
      <c r="CI207" s="168">
        <v>1405000</v>
      </c>
      <c r="CJ207" s="168">
        <v>1481000</v>
      </c>
      <c r="CK207" s="168">
        <v>1609000</v>
      </c>
      <c r="CL207" s="21"/>
      <c r="CM207" s="21"/>
      <c r="CN207" s="21"/>
      <c r="CO207" s="21"/>
      <c r="CP207" s="168">
        <v>123000</v>
      </c>
      <c r="CQ207" s="168">
        <v>20000</v>
      </c>
      <c r="CR207" s="21"/>
      <c r="CS207" s="168">
        <v>143000</v>
      </c>
      <c r="CT207" s="21"/>
      <c r="CU207" s="21"/>
      <c r="CV207" s="21"/>
      <c r="CW207" s="21"/>
      <c r="CX207" s="21"/>
      <c r="CY207" s="21"/>
      <c r="CZ207" s="21"/>
      <c r="DA207" s="21"/>
      <c r="DB207" s="21"/>
      <c r="DC207" s="168">
        <v>43000</v>
      </c>
      <c r="DD207" s="168">
        <v>4232000</v>
      </c>
      <c r="DE207" s="168">
        <v>43000</v>
      </c>
      <c r="DF207" s="168">
        <v>51983000</v>
      </c>
      <c r="DG207" s="168">
        <v>23341000</v>
      </c>
      <c r="DH207" s="168">
        <v>14666000</v>
      </c>
      <c r="DI207" s="168">
        <v>75324000</v>
      </c>
      <c r="DJ207" s="21"/>
      <c r="DK207" s="21"/>
      <c r="DL207" s="21"/>
      <c r="DM207" s="21"/>
      <c r="DN207" s="168">
        <v>58000</v>
      </c>
      <c r="DO207" s="168">
        <v>2496000</v>
      </c>
      <c r="DP207" s="168">
        <v>2409000</v>
      </c>
      <c r="DQ207" s="168">
        <v>2554000</v>
      </c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168">
        <v>73401000</v>
      </c>
      <c r="EL207" s="168">
        <v>29945000</v>
      </c>
      <c r="EM207" s="168">
        <v>25255000</v>
      </c>
      <c r="EN207" s="168">
        <v>103346000</v>
      </c>
      <c r="EO207" s="168">
        <v>654000</v>
      </c>
      <c r="EP207" s="168">
        <v>23923000</v>
      </c>
      <c r="EQ207" s="168">
        <v>23570000</v>
      </c>
      <c r="ER207" s="168">
        <v>24577000</v>
      </c>
      <c r="ES207" s="168">
        <v>74055000</v>
      </c>
      <c r="ET207" s="168">
        <v>53868000</v>
      </c>
      <c r="EU207" s="168">
        <v>48825000</v>
      </c>
      <c r="EV207" s="168">
        <v>127923000</v>
      </c>
      <c r="EW207" s="21"/>
      <c r="EX207" s="168">
        <v>329000</v>
      </c>
      <c r="EY207" s="168">
        <v>329000</v>
      </c>
      <c r="EZ207" s="168">
        <v>329000</v>
      </c>
      <c r="FA207" s="21"/>
      <c r="FB207" s="21"/>
      <c r="FC207" s="21"/>
      <c r="FD207" s="21"/>
      <c r="FE207" s="21"/>
      <c r="FF207" s="168">
        <v>1000000</v>
      </c>
      <c r="FG207" s="168">
        <v>1209000</v>
      </c>
      <c r="FH207" s="168">
        <v>1000000</v>
      </c>
      <c r="FI207" s="168">
        <v>27000</v>
      </c>
      <c r="FJ207" s="168">
        <v>-89000</v>
      </c>
      <c r="FK207" s="21"/>
      <c r="FL207" s="21"/>
      <c r="FM207" s="168">
        <v>3000</v>
      </c>
      <c r="FN207" s="168">
        <v>48000</v>
      </c>
      <c r="FO207" s="168">
        <v>9560000</v>
      </c>
      <c r="FP207" s="168">
        <v>92000</v>
      </c>
      <c r="FQ207" s="168">
        <v>-14000</v>
      </c>
      <c r="FR207" s="168">
        <v>-163000</v>
      </c>
      <c r="FS207" s="168">
        <v>-2000</v>
      </c>
      <c r="FT207" s="168">
        <v>8000</v>
      </c>
      <c r="FU207" s="168">
        <v>-265000</v>
      </c>
      <c r="FV207" s="168">
        <v>23000</v>
      </c>
      <c r="FW207" s="168">
        <v>2000</v>
      </c>
      <c r="FX207" s="168">
        <v>13000</v>
      </c>
      <c r="FY207" s="168">
        <v>9000</v>
      </c>
      <c r="FZ207" s="168">
        <v>7000</v>
      </c>
      <c r="GA207" s="21"/>
      <c r="GB207" s="21"/>
      <c r="GC207" s="168">
        <v>21000</v>
      </c>
      <c r="GD207" s="168">
        <v>59000</v>
      </c>
      <c r="GE207" s="168">
        <v>9566000</v>
      </c>
      <c r="GF207" s="21"/>
      <c r="GG207" s="21"/>
      <c r="GH207" s="21"/>
      <c r="GI207" s="21"/>
      <c r="GJ207" s="21"/>
      <c r="GK207" s="21"/>
      <c r="GL207" s="21"/>
      <c r="GM207" s="168">
        <v>1197000</v>
      </c>
      <c r="GN207" s="168">
        <v>243000</v>
      </c>
      <c r="GO207" s="168">
        <v>1057000</v>
      </c>
      <c r="GP207" s="168">
        <v>81000</v>
      </c>
      <c r="GQ207" s="21"/>
      <c r="GR207" s="21"/>
      <c r="GS207" s="168">
        <v>1187000</v>
      </c>
      <c r="GT207" s="168">
        <v>237000</v>
      </c>
      <c r="GU207" s="168">
        <v>9561000</v>
      </c>
      <c r="GV207" s="168">
        <v>148000</v>
      </c>
      <c r="GW207" s="168">
        <v>9587000</v>
      </c>
      <c r="GX207" s="168">
        <v>59000</v>
      </c>
      <c r="GY207" s="168">
        <v>205000</v>
      </c>
      <c r="GZ207" s="168">
        <v>560000</v>
      </c>
      <c r="HA207" s="168">
        <v>28665000</v>
      </c>
      <c r="HB207" s="168">
        <v>27016000</v>
      </c>
      <c r="HC207" s="168">
        <v>22576000</v>
      </c>
      <c r="HD207" s="168">
        <v>21226000</v>
      </c>
      <c r="HE207" s="168">
        <v>237000</v>
      </c>
      <c r="HF207" s="168">
        <v>307000</v>
      </c>
      <c r="HG207" s="168">
        <v>25000</v>
      </c>
      <c r="HH207" s="168">
        <v>72000</v>
      </c>
      <c r="HI207" s="168">
        <v>84000</v>
      </c>
      <c r="HJ207" s="168">
        <v>21000</v>
      </c>
      <c r="HK207" s="21"/>
      <c r="HL207" s="21"/>
      <c r="HM207" s="21"/>
      <c r="HN207" s="21"/>
      <c r="HO207" s="168">
        <v>5765000</v>
      </c>
      <c r="HP207" s="168">
        <v>6078000</v>
      </c>
      <c r="HQ207" s="21"/>
      <c r="HR207" s="21"/>
      <c r="HS207" s="21"/>
      <c r="HT207" s="21"/>
      <c r="HU207" s="168">
        <v>2757000</v>
      </c>
      <c r="HV207" s="168">
        <v>2517000</v>
      </c>
      <c r="HW207" s="21"/>
      <c r="HX207" s="21"/>
      <c r="HY207" s="168">
        <v>114000</v>
      </c>
      <c r="HZ207" s="168">
        <v>49000</v>
      </c>
      <c r="IA207" s="168">
        <v>355000</v>
      </c>
      <c r="IB207" s="168">
        <v>239000</v>
      </c>
      <c r="IC207" s="168">
        <v>9000</v>
      </c>
      <c r="ID207" s="168">
        <v>1000</v>
      </c>
      <c r="IE207" s="168">
        <v>1291000</v>
      </c>
      <c r="IF207" s="168">
        <v>1313000</v>
      </c>
      <c r="IG207" s="168">
        <v>668000</v>
      </c>
      <c r="IH207" s="168">
        <v>554000</v>
      </c>
      <c r="II207" s="21"/>
      <c r="IJ207" s="21"/>
      <c r="IK207" s="21"/>
      <c r="IL207" s="168">
        <v>21000</v>
      </c>
      <c r="IM207" s="168">
        <v>-2000</v>
      </c>
      <c r="IN207" s="168">
        <v>896000</v>
      </c>
      <c r="IO207" s="21"/>
      <c r="IP207" s="21"/>
      <c r="IQ207" s="168">
        <v>6000</v>
      </c>
      <c r="IR207" s="21"/>
      <c r="IS207" s="21"/>
      <c r="IT207" s="21"/>
      <c r="IU207" s="168">
        <v>767000</v>
      </c>
      <c r="IV207" s="168">
        <v>205000</v>
      </c>
      <c r="IW207" s="168">
        <v>1303000</v>
      </c>
      <c r="IX207" s="168">
        <v>611000</v>
      </c>
      <c r="IY207" s="168">
        <v>-536000</v>
      </c>
      <c r="IZ207" s="168">
        <v>-406000</v>
      </c>
      <c r="JA207" s="168">
        <v>1486000</v>
      </c>
      <c r="JB207" s="168">
        <v>1028000</v>
      </c>
      <c r="JC207" s="168">
        <v>110000</v>
      </c>
      <c r="JD207" s="168">
        <v>77000</v>
      </c>
      <c r="JE207" s="168">
        <v>13014000</v>
      </c>
      <c r="JF207" s="168">
        <v>13411000</v>
      </c>
      <c r="JG207" s="168">
        <v>30000</v>
      </c>
      <c r="JH207" s="168">
        <v>27000</v>
      </c>
      <c r="JI207" s="168">
        <v>74961000</v>
      </c>
      <c r="JJ207" s="168">
        <v>72490000</v>
      </c>
      <c r="JK207" s="168">
        <v>677000</v>
      </c>
      <c r="JL207" s="168">
        <v>555000</v>
      </c>
      <c r="JM207" s="168">
        <v>76264000</v>
      </c>
      <c r="JN207" s="168">
        <v>73101000</v>
      </c>
      <c r="JO207" s="168">
        <v>141000</v>
      </c>
      <c r="JP207" s="168">
        <v>149000</v>
      </c>
      <c r="JQ207" s="21"/>
      <c r="JR207" s="21"/>
      <c r="JS207" s="168">
        <v>-17000</v>
      </c>
      <c r="JT207" s="168">
        <v>-226000</v>
      </c>
      <c r="JU207" s="21"/>
      <c r="JV207" s="21"/>
      <c r="JW207" s="168">
        <v>74666000</v>
      </c>
      <c r="JX207" s="168">
        <v>71108000</v>
      </c>
      <c r="JY207" s="21"/>
      <c r="JZ207" s="21"/>
      <c r="KA207" s="21"/>
      <c r="KB207" s="21"/>
      <c r="KC207" s="21"/>
      <c r="KD207" s="21"/>
      <c r="KE207" s="21"/>
      <c r="KF207" s="21"/>
      <c r="KG207" s="21"/>
      <c r="KH207" s="21"/>
      <c r="KI207" s="21"/>
      <c r="KJ207" s="21"/>
      <c r="KK207" s="21"/>
      <c r="KL207" s="21"/>
      <c r="KM207" s="21"/>
      <c r="KN207" s="21"/>
      <c r="KO207" s="21"/>
      <c r="KP207" s="21"/>
      <c r="KQ207" s="168">
        <v>523000</v>
      </c>
      <c r="KR207" s="168">
        <v>728000</v>
      </c>
      <c r="KS207" s="21"/>
      <c r="KT207" s="21"/>
      <c r="KU207" s="168">
        <v>10059000</v>
      </c>
      <c r="KV207" s="168">
        <v>9720000</v>
      </c>
      <c r="KW207" s="21"/>
      <c r="KX207" s="21"/>
      <c r="KY207" s="21"/>
      <c r="KZ207" s="21"/>
      <c r="LA207" s="168">
        <v>2664000</v>
      </c>
      <c r="LB207" s="168">
        <v>2664000</v>
      </c>
      <c r="LC207" s="168">
        <v>237000</v>
      </c>
      <c r="LD207" s="168">
        <v>261000</v>
      </c>
      <c r="LE207" s="168">
        <v>9000</v>
      </c>
      <c r="LF207" s="168">
        <v>7000</v>
      </c>
      <c r="LG207" s="21"/>
      <c r="LH207" s="21"/>
      <c r="LI207" s="168">
        <v>5607000</v>
      </c>
      <c r="LJ207" s="168">
        <v>5731000</v>
      </c>
      <c r="LK207" s="21"/>
      <c r="LL207" s="21"/>
      <c r="LM207" s="168">
        <v>105000</v>
      </c>
      <c r="LN207" s="168">
        <v>95000</v>
      </c>
      <c r="LO207" s="21"/>
      <c r="LP207" s="21"/>
      <c r="LQ207" s="21"/>
      <c r="LR207" s="21"/>
      <c r="LS207" s="21"/>
      <c r="LT207" s="21"/>
      <c r="LU207" s="21"/>
      <c r="LV207" s="21"/>
      <c r="LW207" s="21"/>
      <c r="LX207" s="21"/>
      <c r="LY207" s="21"/>
      <c r="LZ207" s="21"/>
      <c r="MA207" s="168">
        <v>5658000</v>
      </c>
      <c r="MB207" s="168">
        <v>5484000</v>
      </c>
      <c r="MC207" s="168">
        <v>14467000</v>
      </c>
      <c r="MD207" s="168">
        <v>10406000</v>
      </c>
      <c r="ME207" s="21"/>
      <c r="MF207" s="21"/>
      <c r="MG207" s="168">
        <v>1485000</v>
      </c>
      <c r="MH207" s="168">
        <v>1770000</v>
      </c>
      <c r="MI207" s="21"/>
      <c r="MJ207" s="21"/>
      <c r="MK207" s="21"/>
      <c r="ML207" s="21"/>
      <c r="MM207" s="168">
        <v>935000</v>
      </c>
      <c r="MN207" s="168">
        <v>1177000</v>
      </c>
      <c r="MO207" s="168">
        <v>177000</v>
      </c>
      <c r="MP207" s="168">
        <v>34000</v>
      </c>
      <c r="MQ207" s="168">
        <v>1000</v>
      </c>
      <c r="MR207" s="168">
        <v>45000</v>
      </c>
      <c r="MS207" s="21"/>
      <c r="MT207" s="21"/>
      <c r="MU207" s="21"/>
      <c r="MV207" s="21"/>
      <c r="MW207" s="168">
        <v>296000</v>
      </c>
      <c r="MX207" s="168">
        <v>296000</v>
      </c>
      <c r="MY207" s="21"/>
      <c r="MZ207" s="21"/>
      <c r="NA207" s="21"/>
      <c r="NB207" s="21"/>
      <c r="NC207" s="168">
        <v>1187000</v>
      </c>
      <c r="ND207" s="168">
        <v>236000</v>
      </c>
      <c r="NE207" s="21"/>
      <c r="NF207" s="21"/>
      <c r="NG207" s="168">
        <v>14206000</v>
      </c>
      <c r="NH207" s="168">
        <v>12917000</v>
      </c>
      <c r="NI207" s="21"/>
      <c r="NJ207" s="21"/>
      <c r="NK207" s="168">
        <v>246000</v>
      </c>
      <c r="NL207" s="168">
        <v>268000</v>
      </c>
      <c r="NM207" s="21"/>
      <c r="NN207" s="21"/>
      <c r="NO207" s="168">
        <v>53868000</v>
      </c>
      <c r="NP207" s="168">
        <v>48825000</v>
      </c>
      <c r="NQ207" s="168" t="s">
        <v>1358</v>
      </c>
      <c r="NR207" s="168" t="s">
        <v>797</v>
      </c>
      <c r="NS207" s="168" t="s">
        <v>770</v>
      </c>
      <c r="NT207" s="168" t="s">
        <v>771</v>
      </c>
      <c r="NU207" s="168">
        <v>5301</v>
      </c>
      <c r="NV207" s="168" t="s">
        <v>2104</v>
      </c>
      <c r="NW207" s="168" t="s">
        <v>28</v>
      </c>
      <c r="NX207" s="168" t="s">
        <v>25</v>
      </c>
      <c r="NY207" s="169">
        <v>42825</v>
      </c>
      <c r="NZ207" s="169">
        <v>42460</v>
      </c>
      <c r="OA207" s="169">
        <v>43027</v>
      </c>
      <c r="OB207" s="168" t="s">
        <v>1426</v>
      </c>
      <c r="OC207" s="168">
        <v>12</v>
      </c>
      <c r="OD207" s="168" t="s">
        <v>2105</v>
      </c>
      <c r="OE207" s="168" t="s">
        <v>2296</v>
      </c>
      <c r="OF207" s="168" t="s">
        <v>2527</v>
      </c>
      <c r="OG207" s="168" t="s">
        <v>2011</v>
      </c>
      <c r="OH207" s="168" t="s">
        <v>793</v>
      </c>
      <c r="OI207" s="168" t="s">
        <v>766</v>
      </c>
      <c r="OJ207" s="168" t="s">
        <v>3240</v>
      </c>
      <c r="OK207" s="168" t="s">
        <v>796</v>
      </c>
    </row>
    <row r="208" spans="1:401" x14ac:dyDescent="0.2">
      <c r="A208" s="170" t="str">
        <f>Liste[[#This Row],[Siren]]</f>
        <v>450764543</v>
      </c>
      <c r="B208" s="198" t="str">
        <f>Liste[[#This Row],[Dénomination]]&amp;" - comptes "&amp;YEAR(Liste[[#This Row],[Date de cloture de l''exercice]])</f>
        <v>SODISCAM - comptes 2017</v>
      </c>
      <c r="C208" s="21"/>
      <c r="D208" s="21"/>
      <c r="E208" s="168">
        <v>157000</v>
      </c>
      <c r="F208" s="168">
        <v>1770000</v>
      </c>
      <c r="G208" s="168">
        <v>1610000</v>
      </c>
      <c r="H208" s="168">
        <v>1926000</v>
      </c>
      <c r="I208" s="168">
        <v>130000</v>
      </c>
      <c r="J208" s="168">
        <v>25000</v>
      </c>
      <c r="K208" s="168">
        <v>26000</v>
      </c>
      <c r="L208" s="168">
        <v>155000</v>
      </c>
      <c r="M208" s="21"/>
      <c r="N208" s="168">
        <v>18000</v>
      </c>
      <c r="O208" s="168">
        <v>18000</v>
      </c>
      <c r="P208" s="168">
        <v>18000</v>
      </c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168">
        <v>149000</v>
      </c>
      <c r="BA208" s="168">
        <v>170000</v>
      </c>
      <c r="BB208" s="168">
        <v>149000</v>
      </c>
      <c r="BC208" s="168">
        <v>48000</v>
      </c>
      <c r="BD208" s="168">
        <v>125000</v>
      </c>
      <c r="BE208" s="168">
        <v>108000</v>
      </c>
      <c r="BF208" s="168">
        <v>172000</v>
      </c>
      <c r="BG208" s="21"/>
      <c r="BH208" s="21"/>
      <c r="BI208" s="21"/>
      <c r="BJ208" s="21"/>
      <c r="BK208" s="168">
        <v>9066000</v>
      </c>
      <c r="BL208" s="168">
        <v>4636000</v>
      </c>
      <c r="BM208" s="168">
        <v>3889000</v>
      </c>
      <c r="BN208" s="168">
        <v>13702000</v>
      </c>
      <c r="BO208" s="21"/>
      <c r="BP208" s="168">
        <v>272000</v>
      </c>
      <c r="BQ208" s="168">
        <v>272000</v>
      </c>
      <c r="BR208" s="168">
        <v>272000</v>
      </c>
      <c r="BS208" s="21"/>
      <c r="BT208" s="21"/>
      <c r="BU208" s="21"/>
      <c r="BV208" s="21"/>
      <c r="BW208" s="21"/>
      <c r="BX208" s="168">
        <v>214000</v>
      </c>
      <c r="BY208" s="168">
        <v>243000</v>
      </c>
      <c r="BZ208" s="168">
        <v>214000</v>
      </c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168">
        <v>51000</v>
      </c>
      <c r="DD208" s="21"/>
      <c r="DE208" s="168">
        <v>51000</v>
      </c>
      <c r="DF208" s="168">
        <v>822000</v>
      </c>
      <c r="DG208" s="168">
        <v>245000</v>
      </c>
      <c r="DH208" s="168">
        <v>230000</v>
      </c>
      <c r="DI208" s="168">
        <v>1068000</v>
      </c>
      <c r="DJ208" s="168">
        <v>213000</v>
      </c>
      <c r="DK208" s="168">
        <v>4923000</v>
      </c>
      <c r="DL208" s="168">
        <v>5016000</v>
      </c>
      <c r="DM208" s="168">
        <v>5135000</v>
      </c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168">
        <v>13333000</v>
      </c>
      <c r="EL208" s="168">
        <v>9293000</v>
      </c>
      <c r="EM208" s="168">
        <v>14156000</v>
      </c>
      <c r="EN208" s="168">
        <v>22626000</v>
      </c>
      <c r="EO208" s="168">
        <v>417000</v>
      </c>
      <c r="EP208" s="168">
        <v>8030000</v>
      </c>
      <c r="EQ208" s="168">
        <v>8065000</v>
      </c>
      <c r="ER208" s="168">
        <v>8447000</v>
      </c>
      <c r="ES208" s="168">
        <v>15954000</v>
      </c>
      <c r="ET208" s="168">
        <v>23365000</v>
      </c>
      <c r="EU208" s="168">
        <v>22220000</v>
      </c>
      <c r="EV208" s="168">
        <v>39319000</v>
      </c>
      <c r="EW208" s="168">
        <v>331000</v>
      </c>
      <c r="EX208" s="168">
        <v>2308000</v>
      </c>
      <c r="EY208" s="168">
        <v>1857000</v>
      </c>
      <c r="EZ208" s="168">
        <v>2640000</v>
      </c>
      <c r="FA208" s="21"/>
      <c r="FB208" s="21"/>
      <c r="FC208" s="21"/>
      <c r="FD208" s="21"/>
      <c r="FE208" s="21"/>
      <c r="FF208" s="21"/>
      <c r="FG208" s="21"/>
      <c r="FH208" s="21"/>
      <c r="FI208" s="168">
        <v>-84000</v>
      </c>
      <c r="FJ208" s="168">
        <v>7000</v>
      </c>
      <c r="FK208" s="21"/>
      <c r="FL208" s="21"/>
      <c r="FM208" s="168">
        <v>23000</v>
      </c>
      <c r="FN208" s="168">
        <v>142000</v>
      </c>
      <c r="FO208" s="21"/>
      <c r="FP208" s="21"/>
      <c r="FQ208" s="21"/>
      <c r="FR208" s="21"/>
      <c r="FS208" s="21"/>
      <c r="FT208" s="21"/>
      <c r="FU208" s="168">
        <v>-19000</v>
      </c>
      <c r="FV208" s="168">
        <v>-59000</v>
      </c>
      <c r="FW208" s="168">
        <v>390000</v>
      </c>
      <c r="FX208" s="168">
        <v>195000</v>
      </c>
      <c r="FY208" s="168">
        <v>4000</v>
      </c>
      <c r="FZ208" s="168">
        <v>3000</v>
      </c>
      <c r="GA208" s="21"/>
      <c r="GB208" s="21"/>
      <c r="GC208" s="168">
        <v>25000</v>
      </c>
      <c r="GD208" s="168">
        <v>43000</v>
      </c>
      <c r="GE208" s="21"/>
      <c r="GF208" s="21"/>
      <c r="GG208" s="21"/>
      <c r="GH208" s="21"/>
      <c r="GI208" s="21"/>
      <c r="GJ208" s="21"/>
      <c r="GK208" s="21"/>
      <c r="GL208" s="21"/>
      <c r="GM208" s="168">
        <v>1544000</v>
      </c>
      <c r="GN208" s="168">
        <v>1117000</v>
      </c>
      <c r="GO208" s="168">
        <v>1544000</v>
      </c>
      <c r="GP208" s="168">
        <v>1117000</v>
      </c>
      <c r="GQ208" s="21"/>
      <c r="GR208" s="21"/>
      <c r="GS208" s="168">
        <v>1540000</v>
      </c>
      <c r="GT208" s="168">
        <v>1114000</v>
      </c>
      <c r="GU208" s="168">
        <v>129000</v>
      </c>
      <c r="GV208" s="168">
        <v>157</v>
      </c>
      <c r="GW208" s="168">
        <v>40000</v>
      </c>
      <c r="GX208" s="168">
        <v>184000</v>
      </c>
      <c r="GY208" s="168">
        <v>43610000</v>
      </c>
      <c r="GZ208" s="168">
        <v>43010000</v>
      </c>
      <c r="HA208" s="21"/>
      <c r="HB208" s="21"/>
      <c r="HC208" s="168">
        <v>2725000</v>
      </c>
      <c r="HD208" s="168">
        <v>2996000</v>
      </c>
      <c r="HE208" s="168">
        <v>22000</v>
      </c>
      <c r="HF208" s="168">
        <v>22000</v>
      </c>
      <c r="HG208" s="21"/>
      <c r="HH208" s="21"/>
      <c r="HI208" s="168">
        <v>33000</v>
      </c>
      <c r="HJ208" s="168">
        <v>87000</v>
      </c>
      <c r="HK208" s="21"/>
      <c r="HL208" s="21"/>
      <c r="HM208" s="21"/>
      <c r="HN208" s="21"/>
      <c r="HO208" s="168">
        <v>1568000</v>
      </c>
      <c r="HP208" s="168">
        <v>1564000</v>
      </c>
      <c r="HQ208" s="21"/>
      <c r="HR208" s="21"/>
      <c r="HS208" s="21"/>
      <c r="HT208" s="21"/>
      <c r="HU208" s="21"/>
      <c r="HV208" s="21"/>
      <c r="HW208" s="21"/>
      <c r="HX208" s="21"/>
      <c r="HY208" s="21"/>
      <c r="HZ208" s="21"/>
      <c r="IA208" s="21"/>
      <c r="IB208" s="21"/>
      <c r="IC208" s="21"/>
      <c r="ID208" s="21"/>
      <c r="IE208" s="168">
        <v>1143000</v>
      </c>
      <c r="IF208" s="168">
        <v>1187000</v>
      </c>
      <c r="IG208" s="21"/>
      <c r="IH208" s="21"/>
      <c r="II208" s="21"/>
      <c r="IJ208" s="21"/>
      <c r="IK208" s="21"/>
      <c r="IL208" s="21"/>
      <c r="IM208" s="21"/>
      <c r="IN208" s="21"/>
      <c r="IO208" s="21"/>
      <c r="IP208" s="21"/>
      <c r="IQ208" s="21"/>
      <c r="IR208" s="21"/>
      <c r="IS208" s="21"/>
      <c r="IT208" s="21"/>
      <c r="IU208" s="21"/>
      <c r="IV208" s="21"/>
      <c r="IW208" s="168">
        <v>2067000</v>
      </c>
      <c r="IX208" s="168">
        <v>1338000</v>
      </c>
      <c r="IY208" s="168">
        <v>-68000</v>
      </c>
      <c r="IZ208" s="168">
        <v>-92000</v>
      </c>
      <c r="JA208" s="168">
        <v>363000</v>
      </c>
      <c r="JB208" s="168">
        <v>375000</v>
      </c>
      <c r="JC208" s="21"/>
      <c r="JD208" s="21"/>
      <c r="JE208" s="21"/>
      <c r="JF208" s="21"/>
      <c r="JG208" s="168">
        <v>19000</v>
      </c>
      <c r="JH208" s="168">
        <v>1000</v>
      </c>
      <c r="JI208" s="168">
        <v>55017000</v>
      </c>
      <c r="JJ208" s="168">
        <v>54924000</v>
      </c>
      <c r="JK208" s="168">
        <v>124000</v>
      </c>
      <c r="JL208" s="168">
        <v>153000</v>
      </c>
      <c r="JM208" s="168">
        <v>57084000</v>
      </c>
      <c r="JN208" s="168">
        <v>56261000</v>
      </c>
      <c r="JO208" s="168">
        <v>56000</v>
      </c>
      <c r="JP208" s="168">
        <v>60000</v>
      </c>
      <c r="JQ208" s="168">
        <v>58000</v>
      </c>
      <c r="JR208" s="168">
        <v>132000</v>
      </c>
      <c r="JS208" s="21"/>
      <c r="JT208" s="21"/>
      <c r="JU208" s="21"/>
      <c r="JV208" s="21"/>
      <c r="JW208" s="21"/>
      <c r="JX208" s="21"/>
      <c r="JY208" s="21"/>
      <c r="JZ208" s="21"/>
      <c r="KA208" s="21"/>
      <c r="KB208" s="21"/>
      <c r="KC208" s="21"/>
      <c r="KD208" s="21"/>
      <c r="KE208" s="21"/>
      <c r="KF208" s="21"/>
      <c r="KG208" s="21"/>
      <c r="KH208" s="21"/>
      <c r="KI208" s="21"/>
      <c r="KJ208" s="21"/>
      <c r="KK208" s="21"/>
      <c r="KL208" s="21"/>
      <c r="KM208" s="21"/>
      <c r="KN208" s="21"/>
      <c r="KO208" s="21"/>
      <c r="KP208" s="21"/>
      <c r="KQ208" s="168">
        <v>79000</v>
      </c>
      <c r="KR208" s="168">
        <v>118000</v>
      </c>
      <c r="KS208" s="21"/>
      <c r="KT208" s="21"/>
      <c r="KU208" s="21"/>
      <c r="KV208" s="21"/>
      <c r="KW208" s="21"/>
      <c r="KX208" s="21"/>
      <c r="KY208" s="168">
        <v>95000</v>
      </c>
      <c r="KZ208" s="168">
        <v>91000</v>
      </c>
      <c r="LA208" s="168">
        <v>38000</v>
      </c>
      <c r="LB208" s="168">
        <v>38000</v>
      </c>
      <c r="LC208" s="168">
        <v>19000</v>
      </c>
      <c r="LD208" s="168">
        <v>20000</v>
      </c>
      <c r="LE208" s="168">
        <v>4000</v>
      </c>
      <c r="LF208" s="168">
        <v>3000</v>
      </c>
      <c r="LG208" s="21"/>
      <c r="LH208" s="21"/>
      <c r="LI208" s="168">
        <v>2294000</v>
      </c>
      <c r="LJ208" s="168">
        <v>2070000</v>
      </c>
      <c r="LK208" s="168">
        <v>3959000</v>
      </c>
      <c r="LL208" s="168">
        <v>3763000</v>
      </c>
      <c r="LM208" s="168">
        <v>40000</v>
      </c>
      <c r="LN208" s="21"/>
      <c r="LO208" s="21"/>
      <c r="LP208" s="21"/>
      <c r="LQ208" s="21"/>
      <c r="LR208" s="21"/>
      <c r="LS208" s="21"/>
      <c r="LT208" s="21"/>
      <c r="LU208" s="21"/>
      <c r="LV208" s="21"/>
      <c r="LW208" s="21"/>
      <c r="LX208" s="21"/>
      <c r="LY208" s="21"/>
      <c r="LZ208" s="21"/>
      <c r="MA208" s="168">
        <v>7391000</v>
      </c>
      <c r="MB208" s="168">
        <v>8019000</v>
      </c>
      <c r="MC208" s="168">
        <v>453000</v>
      </c>
      <c r="MD208" s="168">
        <v>445000</v>
      </c>
      <c r="ME208" s="21"/>
      <c r="MF208" s="21"/>
      <c r="MG208" s="21"/>
      <c r="MH208" s="21"/>
      <c r="MI208" s="21"/>
      <c r="MJ208" s="21"/>
      <c r="MK208" s="21"/>
      <c r="ML208" s="21"/>
      <c r="MM208" s="168">
        <v>31000</v>
      </c>
      <c r="MN208" s="168">
        <v>42000</v>
      </c>
      <c r="MO208" s="21"/>
      <c r="MP208" s="21"/>
      <c r="MQ208" s="21"/>
      <c r="MR208" s="21"/>
      <c r="MS208" s="21"/>
      <c r="MT208" s="21"/>
      <c r="MU208" s="21"/>
      <c r="MV208" s="21"/>
      <c r="MW208" s="21"/>
      <c r="MX208" s="21"/>
      <c r="MY208" s="21"/>
      <c r="MZ208" s="21"/>
      <c r="NA208" s="21"/>
      <c r="NB208" s="21"/>
      <c r="NC208" s="168">
        <v>1540000</v>
      </c>
      <c r="ND208" s="168">
        <v>1114000</v>
      </c>
      <c r="NE208" s="21"/>
      <c r="NF208" s="21"/>
      <c r="NG208" s="168">
        <v>8430000</v>
      </c>
      <c r="NH208" s="168">
        <v>7192000</v>
      </c>
      <c r="NI208" s="21"/>
      <c r="NJ208" s="21"/>
      <c r="NK208" s="168">
        <v>23000</v>
      </c>
      <c r="NL208" s="168">
        <v>23000</v>
      </c>
      <c r="NM208" s="168">
        <v>14342000</v>
      </c>
      <c r="NN208" s="168">
        <v>14547000</v>
      </c>
      <c r="NO208" s="168">
        <v>23365000</v>
      </c>
      <c r="NP208" s="168">
        <v>22220000</v>
      </c>
      <c r="NQ208" s="168" t="s">
        <v>951</v>
      </c>
      <c r="NR208" s="168" t="s">
        <v>769</v>
      </c>
      <c r="NS208" s="168" t="s">
        <v>770</v>
      </c>
      <c r="NT208" s="168" t="s">
        <v>771</v>
      </c>
      <c r="NU208" s="168">
        <v>3303</v>
      </c>
      <c r="NV208" s="168" t="s">
        <v>2104</v>
      </c>
      <c r="NW208" s="168" t="s">
        <v>28</v>
      </c>
      <c r="NX208" s="168" t="s">
        <v>25</v>
      </c>
      <c r="NY208" s="169">
        <v>42825</v>
      </c>
      <c r="NZ208" s="169">
        <v>42460</v>
      </c>
      <c r="OA208" s="169">
        <v>43054</v>
      </c>
      <c r="OB208" s="168" t="s">
        <v>952</v>
      </c>
      <c r="OC208" s="168">
        <v>12</v>
      </c>
      <c r="OD208" s="168" t="s">
        <v>2105</v>
      </c>
      <c r="OE208" s="168" t="s">
        <v>2236</v>
      </c>
      <c r="OF208" s="168" t="s">
        <v>2181</v>
      </c>
      <c r="OG208" s="168" t="s">
        <v>1836</v>
      </c>
      <c r="OH208" s="168" t="s">
        <v>945</v>
      </c>
      <c r="OI208" s="168" t="s">
        <v>766</v>
      </c>
      <c r="OJ208" s="168" t="s">
        <v>3240</v>
      </c>
      <c r="OK208" s="168" t="s">
        <v>767</v>
      </c>
    </row>
    <row r="209" spans="1:401" x14ac:dyDescent="0.2">
      <c r="A209" s="170" t="str">
        <f>Liste[[#This Row],[Siren]]</f>
        <v>389486267</v>
      </c>
      <c r="B209" s="198" t="str">
        <f>Liste[[#This Row],[Dénomination]]&amp;" - comptes "&amp;YEAR(Liste[[#This Row],[Date de cloture de l''exercice]])</f>
        <v>LG INVESTISSEMENT - comptes 2017</v>
      </c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168">
        <v>121000</v>
      </c>
      <c r="CF209" s="168">
        <v>143000</v>
      </c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168">
        <v>2027000</v>
      </c>
      <c r="EM209" s="168">
        <v>2243000</v>
      </c>
      <c r="EN209" s="21"/>
      <c r="EO209" s="21"/>
      <c r="EP209" s="168">
        <v>4114000</v>
      </c>
      <c r="EQ209" s="168">
        <v>3623000</v>
      </c>
      <c r="ER209" s="21"/>
      <c r="ES209" s="21"/>
      <c r="ET209" s="168">
        <v>16811000</v>
      </c>
      <c r="EU209" s="168">
        <v>16428000</v>
      </c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168">
        <v>22000</v>
      </c>
      <c r="FJ209" s="168">
        <v>-449000</v>
      </c>
      <c r="FK209" s="21"/>
      <c r="FL209" s="21"/>
      <c r="FM209" s="21"/>
      <c r="FN209" s="21"/>
      <c r="FO209" s="21"/>
      <c r="FP209" s="21"/>
      <c r="FQ209" s="168">
        <v>-23000</v>
      </c>
      <c r="FR209" s="168">
        <v>-23000</v>
      </c>
      <c r="FS209" s="21"/>
      <c r="FT209" s="21"/>
      <c r="FU209" s="21"/>
      <c r="FV209" s="21"/>
      <c r="FW209" s="21"/>
      <c r="FX209" s="21"/>
      <c r="FY209" s="168">
        <v>73000</v>
      </c>
      <c r="FZ209" s="168">
        <v>8000</v>
      </c>
      <c r="GA209" s="21"/>
      <c r="GB209" s="21"/>
      <c r="GC209" s="21"/>
      <c r="GD209" s="21"/>
      <c r="GE209" s="21"/>
      <c r="GF209" s="21"/>
      <c r="GG209" s="21"/>
      <c r="GH209" s="21"/>
      <c r="GI209" s="21"/>
      <c r="GJ209" s="21"/>
      <c r="GK209" s="21"/>
      <c r="GL209" s="21"/>
      <c r="GM209" s="168">
        <v>343000</v>
      </c>
      <c r="GN209" s="168">
        <v>-217000</v>
      </c>
      <c r="GO209" s="21"/>
      <c r="GP209" s="21"/>
      <c r="GQ209" s="21"/>
      <c r="GR209" s="21"/>
      <c r="GS209" s="168">
        <v>270000</v>
      </c>
      <c r="GT209" s="168">
        <v>-259000</v>
      </c>
      <c r="GU209" s="21"/>
      <c r="GV209" s="21"/>
      <c r="GW209" s="21"/>
      <c r="GX209" s="21"/>
      <c r="GY209" s="21"/>
      <c r="GZ209" s="21"/>
      <c r="HA209" s="21"/>
      <c r="HB209" s="21"/>
      <c r="HC209" s="21"/>
      <c r="HD209" s="21"/>
      <c r="HE209" s="21"/>
      <c r="HF209" s="21"/>
      <c r="HG209" s="21"/>
      <c r="HH209" s="21"/>
      <c r="HI209" s="21"/>
      <c r="HJ209" s="21"/>
      <c r="HK209" s="21"/>
      <c r="HL209" s="21"/>
      <c r="HM209" s="21"/>
      <c r="HN209" s="21"/>
      <c r="HO209" s="21"/>
      <c r="HP209" s="21"/>
      <c r="HQ209" s="21"/>
      <c r="HR209" s="21"/>
      <c r="HS209" s="21"/>
      <c r="HT209" s="21"/>
      <c r="HU209" s="21"/>
      <c r="HV209" s="21"/>
      <c r="HW209" s="21"/>
      <c r="HX209" s="21"/>
      <c r="HY209" s="21"/>
      <c r="HZ209" s="21"/>
      <c r="IA209" s="21"/>
      <c r="IB209" s="21"/>
      <c r="IC209" s="21"/>
      <c r="ID209" s="21"/>
      <c r="IE209" s="168">
        <v>-426000</v>
      </c>
      <c r="IF209" s="168">
        <v>-394000</v>
      </c>
      <c r="IG209" s="21"/>
      <c r="IH209" s="21"/>
      <c r="II209" s="21"/>
      <c r="IJ209" s="21"/>
      <c r="IK209" s="21"/>
      <c r="IL209" s="21"/>
      <c r="IM209" s="21"/>
      <c r="IN209" s="21"/>
      <c r="IO209" s="21"/>
      <c r="IP209" s="21"/>
      <c r="IQ209" s="21"/>
      <c r="IR209" s="21"/>
      <c r="IS209" s="21"/>
      <c r="IT209" s="21"/>
      <c r="IU209" s="168">
        <v>646000</v>
      </c>
      <c r="IV209" s="168">
        <v>99000</v>
      </c>
      <c r="IW209" s="168">
        <v>741000</v>
      </c>
      <c r="IX209" s="168">
        <v>184000</v>
      </c>
      <c r="IY209" s="168">
        <v>-96000</v>
      </c>
      <c r="IZ209" s="168">
        <v>-85000</v>
      </c>
      <c r="JA209" s="21"/>
      <c r="JB209" s="21"/>
      <c r="JC209" s="21"/>
      <c r="JD209" s="21"/>
      <c r="JE209" s="168">
        <v>-5993000</v>
      </c>
      <c r="JF209" s="168">
        <v>-5748000</v>
      </c>
      <c r="JG209" s="21"/>
      <c r="JH209" s="21"/>
      <c r="JI209" s="21"/>
      <c r="JJ209" s="21"/>
      <c r="JK209" s="21"/>
      <c r="JL209" s="21"/>
      <c r="JM209" s="21"/>
      <c r="JN209" s="21"/>
      <c r="JO209" s="21"/>
      <c r="JP209" s="21"/>
      <c r="JQ209" s="21"/>
      <c r="JR209" s="21"/>
      <c r="JS209" s="21"/>
      <c r="JT209" s="21"/>
      <c r="JU209" s="21"/>
      <c r="JV209" s="21"/>
      <c r="JW209" s="168">
        <v>24199000</v>
      </c>
      <c r="JX209" s="168">
        <v>21558000</v>
      </c>
      <c r="JY209" s="21"/>
      <c r="JZ209" s="21"/>
      <c r="KA209" s="21"/>
      <c r="KB209" s="21"/>
      <c r="KC209" s="21"/>
      <c r="KD209" s="21"/>
      <c r="KE209" s="21"/>
      <c r="KF209" s="21"/>
      <c r="KG209" s="21"/>
      <c r="KH209" s="21"/>
      <c r="KI209" s="21"/>
      <c r="KJ209" s="21"/>
      <c r="KK209" s="21"/>
      <c r="KL209" s="21"/>
      <c r="KM209" s="21"/>
      <c r="KN209" s="21"/>
      <c r="KO209" s="21"/>
      <c r="KP209" s="21"/>
      <c r="KQ209" s="21"/>
      <c r="KR209" s="21"/>
      <c r="KS209" s="21"/>
      <c r="KT209" s="21"/>
      <c r="KU209" s="21"/>
      <c r="KV209" s="21"/>
      <c r="KW209" s="21"/>
      <c r="KX209" s="21"/>
      <c r="KY209" s="21"/>
      <c r="KZ209" s="21"/>
      <c r="LA209" s="168">
        <v>1726000</v>
      </c>
      <c r="LB209" s="168">
        <v>1726000</v>
      </c>
      <c r="LC209" s="21"/>
      <c r="LD209" s="21"/>
      <c r="LE209" s="21"/>
      <c r="LF209" s="21"/>
      <c r="LG209" s="21"/>
      <c r="LH209" s="21"/>
      <c r="LI209" s="21"/>
      <c r="LJ209" s="21"/>
      <c r="LK209" s="168">
        <v>3372000</v>
      </c>
      <c r="LL209" s="168">
        <v>2763000</v>
      </c>
      <c r="LM209" s="21"/>
      <c r="LN209" s="21"/>
      <c r="LO209" s="21"/>
      <c r="LP209" s="21"/>
      <c r="LQ209" s="21"/>
      <c r="LR209" s="21"/>
      <c r="LS209" s="21"/>
      <c r="LT209" s="21"/>
      <c r="LU209" s="21"/>
      <c r="LV209" s="21"/>
      <c r="LW209" s="21"/>
      <c r="LX209" s="21"/>
      <c r="LY209" s="21"/>
      <c r="LZ209" s="21"/>
      <c r="MA209" s="21"/>
      <c r="MB209" s="21"/>
      <c r="MC209" s="168">
        <v>3039000</v>
      </c>
      <c r="MD209" s="168">
        <v>3620000</v>
      </c>
      <c r="ME209" s="21"/>
      <c r="MF209" s="21"/>
      <c r="MG209" s="21"/>
      <c r="MH209" s="21"/>
      <c r="MI209" s="21"/>
      <c r="MJ209" s="21"/>
      <c r="MK209" s="21"/>
      <c r="ML209" s="21"/>
      <c r="MM209" s="21"/>
      <c r="MN209" s="21"/>
      <c r="MO209" s="21"/>
      <c r="MP209" s="21"/>
      <c r="MQ209" s="21"/>
      <c r="MR209" s="21"/>
      <c r="MS209" s="21"/>
      <c r="MT209" s="21"/>
      <c r="MU209" s="21"/>
      <c r="MV209" s="21"/>
      <c r="MW209" s="168">
        <v>5555000</v>
      </c>
      <c r="MX209" s="168">
        <v>5813000</v>
      </c>
      <c r="MY209" s="21"/>
      <c r="MZ209" s="21"/>
      <c r="NA209" s="21"/>
      <c r="NB209" s="21"/>
      <c r="NC209" s="168">
        <v>270000</v>
      </c>
      <c r="ND209" s="168">
        <v>-259000</v>
      </c>
      <c r="NE209" s="21"/>
      <c r="NF209" s="21"/>
      <c r="NG209" s="168">
        <v>7550000</v>
      </c>
      <c r="NH209" s="168">
        <v>7280000</v>
      </c>
      <c r="NI209" s="21"/>
      <c r="NJ209" s="21"/>
      <c r="NK209" s="168">
        <v>645000</v>
      </c>
      <c r="NL209" s="168">
        <v>572000</v>
      </c>
      <c r="NM209" s="168">
        <v>7923000</v>
      </c>
      <c r="NN209" s="168">
        <v>7931000</v>
      </c>
      <c r="NO209" s="168">
        <v>16811000</v>
      </c>
      <c r="NP209" s="168">
        <v>16428000</v>
      </c>
      <c r="NQ209" s="168" t="s">
        <v>1276</v>
      </c>
      <c r="NR209" s="168" t="s">
        <v>797</v>
      </c>
      <c r="NS209" s="168" t="s">
        <v>770</v>
      </c>
      <c r="NT209" s="168" t="s">
        <v>771</v>
      </c>
      <c r="NU209" s="168">
        <v>7801</v>
      </c>
      <c r="NV209" s="168" t="s">
        <v>2104</v>
      </c>
      <c r="NW209" s="168" t="s">
        <v>28</v>
      </c>
      <c r="NX209" s="168" t="s">
        <v>25</v>
      </c>
      <c r="NY209" s="169">
        <v>42825</v>
      </c>
      <c r="NZ209" s="169">
        <v>42460</v>
      </c>
      <c r="OA209" s="169">
        <v>43048</v>
      </c>
      <c r="OB209" s="168" t="s">
        <v>1277</v>
      </c>
      <c r="OC209" s="168">
        <v>12</v>
      </c>
      <c r="OD209" s="168" t="s">
        <v>2105</v>
      </c>
      <c r="OE209" s="168" t="s">
        <v>2420</v>
      </c>
      <c r="OF209" s="168" t="s">
        <v>2421</v>
      </c>
      <c r="OG209" s="168" t="s">
        <v>1948</v>
      </c>
      <c r="OH209" s="168" t="s">
        <v>772</v>
      </c>
      <c r="OI209" s="168" t="s">
        <v>766</v>
      </c>
      <c r="OJ209" s="168" t="s">
        <v>3240</v>
      </c>
      <c r="OK209" s="168" t="s">
        <v>796</v>
      </c>
    </row>
    <row r="210" spans="1:401" x14ac:dyDescent="0.2">
      <c r="A210" s="170" t="str">
        <f>Liste[[#This Row],[Siren]]</f>
        <v>384764817</v>
      </c>
      <c r="B210" s="198" t="str">
        <f>Liste[[#This Row],[Dénomination]]&amp;" - comptes "&amp;YEAR(Liste[[#This Row],[Date de cloture de l''exercice]])</f>
        <v>BOVIS PARTICIPATION - comptes 2017</v>
      </c>
      <c r="C210" s="21"/>
      <c r="D210" s="21"/>
      <c r="E210" s="21"/>
      <c r="F210" s="168">
        <v>7898475</v>
      </c>
      <c r="G210" s="168">
        <v>7473783</v>
      </c>
      <c r="H210" s="168">
        <v>7898475</v>
      </c>
      <c r="I210" s="168">
        <v>34437245</v>
      </c>
      <c r="J210" s="168">
        <v>13334127</v>
      </c>
      <c r="K210" s="168">
        <v>11647818</v>
      </c>
      <c r="L210" s="168">
        <v>47771372</v>
      </c>
      <c r="M210" s="21"/>
      <c r="N210" s="168">
        <v>585973</v>
      </c>
      <c r="O210" s="168">
        <v>630677</v>
      </c>
      <c r="P210" s="168">
        <v>585973</v>
      </c>
      <c r="Q210" s="21"/>
      <c r="R210" s="21"/>
      <c r="S210" s="21"/>
      <c r="T210" s="21"/>
      <c r="U210" s="21"/>
      <c r="V210" s="21"/>
      <c r="W210" s="21"/>
      <c r="X210" s="21"/>
      <c r="Y210" s="21"/>
      <c r="Z210" s="168">
        <v>59029</v>
      </c>
      <c r="AA210" s="168">
        <v>55776</v>
      </c>
      <c r="AB210" s="168">
        <v>59029</v>
      </c>
      <c r="AC210" s="21"/>
      <c r="AD210" s="21"/>
      <c r="AE210" s="21"/>
      <c r="AF210" s="21"/>
      <c r="AG210" s="21"/>
      <c r="AH210" s="21"/>
      <c r="AI210" s="21"/>
      <c r="AJ210" s="21"/>
      <c r="AK210" s="21"/>
      <c r="AL210" s="168">
        <v>64200</v>
      </c>
      <c r="AM210" s="168">
        <v>42860</v>
      </c>
      <c r="AN210" s="168">
        <v>64200</v>
      </c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168">
        <v>1145095</v>
      </c>
      <c r="BA210" s="168">
        <v>929161</v>
      </c>
      <c r="BB210" s="168">
        <v>1145095</v>
      </c>
      <c r="BC210" s="168">
        <v>710936</v>
      </c>
      <c r="BD210" s="168">
        <v>20684240</v>
      </c>
      <c r="BE210" s="168">
        <v>18762662</v>
      </c>
      <c r="BF210" s="168">
        <v>21395176</v>
      </c>
      <c r="BG210" s="168">
        <v>596281</v>
      </c>
      <c r="BH210" s="168">
        <v>26032</v>
      </c>
      <c r="BI210" s="168">
        <v>78342</v>
      </c>
      <c r="BJ210" s="168">
        <v>622313</v>
      </c>
      <c r="BK210" s="168">
        <v>10261862</v>
      </c>
      <c r="BL210" s="168">
        <v>18965068</v>
      </c>
      <c r="BM210" s="168">
        <v>20036167</v>
      </c>
      <c r="BN210" s="168">
        <v>29226930</v>
      </c>
      <c r="BO210" s="21"/>
      <c r="BP210" s="168">
        <v>354096</v>
      </c>
      <c r="BQ210" s="168">
        <v>211435</v>
      </c>
      <c r="BR210" s="168">
        <v>354096</v>
      </c>
      <c r="BS210" s="21"/>
      <c r="BT210" s="21"/>
      <c r="BU210" s="21"/>
      <c r="BV210" s="21"/>
      <c r="BW210" s="21"/>
      <c r="BX210" s="168">
        <v>4680703</v>
      </c>
      <c r="BY210" s="168">
        <v>5180187</v>
      </c>
      <c r="BZ210" s="168">
        <v>4680703</v>
      </c>
      <c r="CA210" s="21"/>
      <c r="CB210" s="21"/>
      <c r="CC210" s="21"/>
      <c r="CD210" s="168">
        <v>5471407</v>
      </c>
      <c r="CE210" s="168">
        <v>5741587</v>
      </c>
      <c r="CF210" s="168">
        <v>6443264</v>
      </c>
      <c r="CG210" s="168">
        <v>11212994</v>
      </c>
      <c r="CH210" s="21"/>
      <c r="CI210" s="21"/>
      <c r="CJ210" s="21"/>
      <c r="CK210" s="21"/>
      <c r="CL210" s="21"/>
      <c r="CM210" s="21"/>
      <c r="CN210" s="21"/>
      <c r="CO210" s="21"/>
      <c r="CP210" s="21"/>
      <c r="CQ210" s="168">
        <v>349805</v>
      </c>
      <c r="CR210" s="168">
        <v>349805</v>
      </c>
      <c r="CS210" s="168">
        <v>349805</v>
      </c>
      <c r="CT210" s="168">
        <v>383191</v>
      </c>
      <c r="CU210" s="21"/>
      <c r="CV210" s="21"/>
      <c r="CW210" s="168">
        <v>383191</v>
      </c>
      <c r="CX210" s="21"/>
      <c r="CY210" s="21"/>
      <c r="CZ210" s="21"/>
      <c r="DA210" s="21"/>
      <c r="DB210" s="21"/>
      <c r="DC210" s="168">
        <v>48434</v>
      </c>
      <c r="DD210" s="21"/>
      <c r="DE210" s="168">
        <v>48434</v>
      </c>
      <c r="DF210" s="168">
        <v>7509309</v>
      </c>
      <c r="DG210" s="168">
        <v>1939323</v>
      </c>
      <c r="DH210" s="168">
        <v>2178407</v>
      </c>
      <c r="DI210" s="168">
        <v>9448632</v>
      </c>
      <c r="DJ210" s="21"/>
      <c r="DK210" s="21"/>
      <c r="DL210" s="21"/>
      <c r="DM210" s="21"/>
      <c r="DN210" s="168">
        <v>22824</v>
      </c>
      <c r="DO210" s="168">
        <v>178948</v>
      </c>
      <c r="DP210" s="168">
        <v>160494</v>
      </c>
      <c r="DQ210" s="168">
        <v>201772</v>
      </c>
      <c r="DR210" s="21"/>
      <c r="DS210" s="21"/>
      <c r="DT210" s="21"/>
      <c r="DU210" s="21"/>
      <c r="DV210" s="21"/>
      <c r="DW210" s="168">
        <v>6888</v>
      </c>
      <c r="DX210" s="168">
        <v>6888</v>
      </c>
      <c r="DY210" s="168">
        <v>6888</v>
      </c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168">
        <v>53221595</v>
      </c>
      <c r="EL210" s="168">
        <v>40309915</v>
      </c>
      <c r="EM210" s="168">
        <v>39839357</v>
      </c>
      <c r="EN210" s="168">
        <v>93531510</v>
      </c>
      <c r="EO210" s="168">
        <v>733760</v>
      </c>
      <c r="EP210" s="168">
        <v>35336649</v>
      </c>
      <c r="EQ210" s="168">
        <v>33372026</v>
      </c>
      <c r="ER210" s="168">
        <v>36070409</v>
      </c>
      <c r="ES210" s="168">
        <v>59426762</v>
      </c>
      <c r="ET210" s="168">
        <v>81388151</v>
      </c>
      <c r="EU210" s="168">
        <v>79654647</v>
      </c>
      <c r="EV210" s="168">
        <v>140814913</v>
      </c>
      <c r="EW210" s="168">
        <v>33707</v>
      </c>
      <c r="EX210" s="168">
        <v>4612140</v>
      </c>
      <c r="EY210" s="168">
        <v>4602709</v>
      </c>
      <c r="EZ210" s="168">
        <v>4645847</v>
      </c>
      <c r="FA210" s="21"/>
      <c r="FB210" s="21"/>
      <c r="FC210" s="21"/>
      <c r="FD210" s="21"/>
      <c r="FE210" s="21"/>
      <c r="FF210" s="168">
        <v>684988</v>
      </c>
      <c r="FG210" s="168">
        <v>822879</v>
      </c>
      <c r="FH210" s="168">
        <v>684988</v>
      </c>
      <c r="FI210" s="168">
        <v>-267283</v>
      </c>
      <c r="FJ210" s="168">
        <v>-313265</v>
      </c>
      <c r="FK210" s="168">
        <v>921618</v>
      </c>
      <c r="FL210" s="168">
        <v>594170</v>
      </c>
      <c r="FM210" s="168">
        <v>646177</v>
      </c>
      <c r="FN210" s="168">
        <v>983238</v>
      </c>
      <c r="FO210" s="168">
        <v>277424</v>
      </c>
      <c r="FP210" s="168">
        <v>147436</v>
      </c>
      <c r="FQ210" s="168">
        <v>711343</v>
      </c>
      <c r="FR210" s="168">
        <v>713552</v>
      </c>
      <c r="FS210" s="21"/>
      <c r="FT210" s="21"/>
      <c r="FU210" s="168">
        <v>442826</v>
      </c>
      <c r="FV210" s="168">
        <v>635235</v>
      </c>
      <c r="FW210" s="168">
        <v>478792</v>
      </c>
      <c r="FX210" s="168">
        <v>-41065</v>
      </c>
      <c r="FY210" s="168">
        <v>528466</v>
      </c>
      <c r="FZ210" s="168">
        <v>560344</v>
      </c>
      <c r="GA210" s="21"/>
      <c r="GB210" s="21"/>
      <c r="GC210" s="168">
        <v>128018</v>
      </c>
      <c r="GD210" s="168">
        <v>103438</v>
      </c>
      <c r="GE210" s="168">
        <v>365135</v>
      </c>
      <c r="GF210" s="168">
        <v>390011</v>
      </c>
      <c r="GG210" s="21"/>
      <c r="GH210" s="21"/>
      <c r="GI210" s="21"/>
      <c r="GJ210" s="21"/>
      <c r="GK210" s="168">
        <v>163165</v>
      </c>
      <c r="GL210" s="168">
        <v>323960</v>
      </c>
      <c r="GM210" s="168">
        <v>2710523</v>
      </c>
      <c r="GN210" s="168">
        <v>1330128</v>
      </c>
      <c r="GO210" s="21"/>
      <c r="GP210" s="21"/>
      <c r="GQ210" s="21"/>
      <c r="GR210" s="21"/>
      <c r="GS210" s="21"/>
      <c r="GT210" s="21"/>
      <c r="GU210" s="168">
        <v>923601</v>
      </c>
      <c r="GV210" s="168">
        <v>1130674</v>
      </c>
      <c r="GW210" s="168">
        <v>656318</v>
      </c>
      <c r="GX210" s="168">
        <v>817409</v>
      </c>
      <c r="GY210" s="168">
        <v>52201</v>
      </c>
      <c r="GZ210" s="168">
        <v>38642</v>
      </c>
      <c r="HA210" s="168">
        <v>1539785</v>
      </c>
      <c r="HB210" s="168">
        <v>1607376</v>
      </c>
      <c r="HC210" s="168">
        <v>38514289</v>
      </c>
      <c r="HD210" s="168">
        <v>33878570</v>
      </c>
      <c r="HE210" s="168">
        <v>204499</v>
      </c>
      <c r="HF210" s="168">
        <v>342337</v>
      </c>
      <c r="HG210" s="168">
        <v>19637</v>
      </c>
      <c r="HH210" s="168">
        <v>35191</v>
      </c>
      <c r="HI210" s="168">
        <v>1315</v>
      </c>
      <c r="HJ210" s="168">
        <v>245</v>
      </c>
      <c r="HK210" s="21"/>
      <c r="HL210" s="21"/>
      <c r="HM210" s="168">
        <v>-8</v>
      </c>
      <c r="HN210" s="168">
        <v>23</v>
      </c>
      <c r="HO210" s="168">
        <v>12195639</v>
      </c>
      <c r="HP210" s="168">
        <v>11814638</v>
      </c>
      <c r="HQ210" s="168">
        <v>29250</v>
      </c>
      <c r="HR210" s="168">
        <v>48852</v>
      </c>
      <c r="HS210" s="168">
        <v>15988</v>
      </c>
      <c r="HT210" s="168">
        <v>51724</v>
      </c>
      <c r="HU210" s="168">
        <v>5300515</v>
      </c>
      <c r="HV210" s="168">
        <v>5788480</v>
      </c>
      <c r="HW210" s="21"/>
      <c r="HX210" s="21"/>
      <c r="HY210" s="168">
        <v>172268</v>
      </c>
      <c r="HZ210" s="168">
        <v>266026</v>
      </c>
      <c r="IA210" s="168">
        <v>89712</v>
      </c>
      <c r="IB210" s="168">
        <v>178126</v>
      </c>
      <c r="IC210" s="21"/>
      <c r="ID210" s="21"/>
      <c r="IE210" s="168">
        <v>2532742</v>
      </c>
      <c r="IF210" s="168">
        <v>2434404</v>
      </c>
      <c r="IG210" s="168">
        <v>839265</v>
      </c>
      <c r="IH210" s="168">
        <v>1019524</v>
      </c>
      <c r="II210" s="21"/>
      <c r="IJ210" s="21"/>
      <c r="IK210" s="21"/>
      <c r="IL210" s="168">
        <v>11950</v>
      </c>
      <c r="IM210" s="21"/>
      <c r="IN210" s="21"/>
      <c r="IO210" s="168">
        <v>45</v>
      </c>
      <c r="IP210" s="168">
        <v>82</v>
      </c>
      <c r="IQ210" s="168">
        <v>99</v>
      </c>
      <c r="IR210" s="168">
        <v>93</v>
      </c>
      <c r="IS210" s="21"/>
      <c r="IT210" s="168">
        <v>37</v>
      </c>
      <c r="IU210" s="168">
        <v>4610767</v>
      </c>
      <c r="IV210" s="168">
        <v>2951115</v>
      </c>
      <c r="IW210" s="168">
        <v>5443505</v>
      </c>
      <c r="IX210" s="168">
        <v>3932387</v>
      </c>
      <c r="IY210" s="168">
        <v>-832738</v>
      </c>
      <c r="IZ210" s="168">
        <v>-981272</v>
      </c>
      <c r="JA210" s="168">
        <v>747881</v>
      </c>
      <c r="JB210" s="168">
        <v>757180</v>
      </c>
      <c r="JC210" s="21"/>
      <c r="JD210" s="21"/>
      <c r="JE210" s="168">
        <v>31499754</v>
      </c>
      <c r="JF210" s="168">
        <v>30325967</v>
      </c>
      <c r="JG210" s="168">
        <v>8421</v>
      </c>
      <c r="JH210" s="168">
        <v>1387</v>
      </c>
      <c r="JI210" s="168">
        <v>92072512</v>
      </c>
      <c r="JJ210" s="168">
        <v>86637557</v>
      </c>
      <c r="JK210" s="168">
        <v>868507</v>
      </c>
      <c r="JL210" s="168">
        <v>1068399</v>
      </c>
      <c r="JM210" s="168">
        <v>757617</v>
      </c>
      <c r="JN210" s="168">
        <v>770762</v>
      </c>
      <c r="JO210" s="168">
        <v>35769</v>
      </c>
      <c r="JP210" s="168">
        <v>87127</v>
      </c>
      <c r="JQ210" s="21"/>
      <c r="JR210" s="168">
        <v>20880</v>
      </c>
      <c r="JS210" s="168">
        <v>-28892</v>
      </c>
      <c r="JT210" s="168">
        <v>-57889</v>
      </c>
      <c r="JU210" s="21"/>
      <c r="JV210" s="21"/>
      <c r="JW210" s="168">
        <v>96758400</v>
      </c>
      <c r="JX210" s="168">
        <v>89799182</v>
      </c>
      <c r="JY210" s="21"/>
      <c r="JZ210" s="21"/>
      <c r="KA210" s="21"/>
      <c r="KB210" s="21"/>
      <c r="KC210" s="168">
        <v>11921473</v>
      </c>
      <c r="KD210" s="168">
        <v>84532703</v>
      </c>
      <c r="KE210" s="21"/>
      <c r="KF210" s="21"/>
      <c r="KG210" s="21"/>
      <c r="KH210" s="21"/>
      <c r="KI210" s="168">
        <v>304224</v>
      </c>
      <c r="KJ210" s="168">
        <v>265137</v>
      </c>
      <c r="KK210" s="21"/>
      <c r="KL210" s="21"/>
      <c r="KM210" s="21"/>
      <c r="KN210" s="21"/>
      <c r="KO210" s="21"/>
      <c r="KP210" s="21"/>
      <c r="KQ210" s="168">
        <v>511549</v>
      </c>
      <c r="KR210" s="168">
        <v>172042</v>
      </c>
      <c r="KS210" s="21"/>
      <c r="KT210" s="21"/>
      <c r="KU210" s="168">
        <v>7807291</v>
      </c>
      <c r="KV210" s="168">
        <v>6898304</v>
      </c>
      <c r="KW210" s="21"/>
      <c r="KX210" s="21"/>
      <c r="KY210" s="168">
        <v>605827</v>
      </c>
      <c r="KZ210" s="168">
        <v>539766</v>
      </c>
      <c r="LA210" s="168">
        <v>5007002</v>
      </c>
      <c r="LB210" s="168">
        <v>5007002</v>
      </c>
      <c r="LC210" s="21"/>
      <c r="LD210" s="21"/>
      <c r="LE210" s="21"/>
      <c r="LF210" s="21"/>
      <c r="LG210" s="21"/>
      <c r="LH210" s="21"/>
      <c r="LI210" s="168">
        <v>13140920</v>
      </c>
      <c r="LJ210" s="168">
        <v>12538193</v>
      </c>
      <c r="LK210" s="168">
        <v>6590223</v>
      </c>
      <c r="LL210" s="168">
        <v>7866895</v>
      </c>
      <c r="LM210" s="168">
        <v>16300</v>
      </c>
      <c r="LN210" s="168">
        <v>22731</v>
      </c>
      <c r="LO210" s="21"/>
      <c r="LP210" s="21"/>
      <c r="LQ210" s="21"/>
      <c r="LR210" s="21"/>
      <c r="LS210" s="21"/>
      <c r="LT210" s="21"/>
      <c r="LU210" s="168">
        <v>-5932</v>
      </c>
      <c r="LV210" s="168">
        <v>-346</v>
      </c>
      <c r="LW210" s="21"/>
      <c r="LX210" s="21"/>
      <c r="LY210" s="21"/>
      <c r="LZ210" s="21"/>
      <c r="MA210" s="168">
        <v>17890066</v>
      </c>
      <c r="MB210" s="168">
        <v>18637502</v>
      </c>
      <c r="MC210" s="168">
        <v>14511716</v>
      </c>
      <c r="MD210" s="168">
        <v>14885800</v>
      </c>
      <c r="ME210" s="21"/>
      <c r="MF210" s="21"/>
      <c r="MG210" s="21"/>
      <c r="MH210" s="21"/>
      <c r="MI210" s="21"/>
      <c r="MJ210" s="21"/>
      <c r="MK210" s="21"/>
      <c r="ML210" s="21"/>
      <c r="MM210" s="168">
        <v>67795</v>
      </c>
      <c r="MN210" s="168">
        <v>27361</v>
      </c>
      <c r="MO210" s="168">
        <v>1650695</v>
      </c>
      <c r="MP210" s="168">
        <v>1559758</v>
      </c>
      <c r="MQ210" s="168">
        <v>1760</v>
      </c>
      <c r="MR210" s="168">
        <v>94603</v>
      </c>
      <c r="MS210" s="21"/>
      <c r="MT210" s="21"/>
      <c r="MU210" s="21"/>
      <c r="MV210" s="21"/>
      <c r="MW210" s="168">
        <v>500702</v>
      </c>
      <c r="MX210" s="168">
        <v>371325</v>
      </c>
      <c r="MY210" s="21"/>
      <c r="MZ210" s="21"/>
      <c r="NA210" s="21"/>
      <c r="NB210" s="21"/>
      <c r="NC210" s="168">
        <v>2182057</v>
      </c>
      <c r="ND210" s="168">
        <v>769784</v>
      </c>
      <c r="NE210" s="21"/>
      <c r="NF210" s="21"/>
      <c r="NG210" s="168">
        <v>16318070</v>
      </c>
      <c r="NH210" s="168">
        <v>14132395</v>
      </c>
      <c r="NI210" s="21"/>
      <c r="NJ210" s="21"/>
      <c r="NK210" s="21"/>
      <c r="NL210" s="21"/>
      <c r="NM210" s="168">
        <v>53334396</v>
      </c>
      <c r="NN210" s="168">
        <v>54690290</v>
      </c>
      <c r="NO210" s="168">
        <v>81388151</v>
      </c>
      <c r="NP210" s="168">
        <v>79654647</v>
      </c>
      <c r="NQ210" s="168" t="s">
        <v>1195</v>
      </c>
      <c r="NR210" s="168" t="s">
        <v>797</v>
      </c>
      <c r="NS210" s="168" t="s">
        <v>770</v>
      </c>
      <c r="NT210" s="168" t="s">
        <v>771</v>
      </c>
      <c r="NU210" s="168">
        <v>7801</v>
      </c>
      <c r="NV210" s="168" t="s">
        <v>2104</v>
      </c>
      <c r="NW210" s="168" t="s">
        <v>28</v>
      </c>
      <c r="NX210" s="168" t="s">
        <v>25</v>
      </c>
      <c r="NY210" s="169">
        <v>42825</v>
      </c>
      <c r="NZ210" s="169">
        <v>42460</v>
      </c>
      <c r="OA210" s="169">
        <v>43096</v>
      </c>
      <c r="OB210" s="168" t="s">
        <v>1196</v>
      </c>
      <c r="OC210" s="168">
        <v>12</v>
      </c>
      <c r="OD210" s="168" t="s">
        <v>2105</v>
      </c>
      <c r="OE210" s="168" t="s">
        <v>3397</v>
      </c>
      <c r="OF210" s="168" t="s">
        <v>2363</v>
      </c>
      <c r="OG210" s="168" t="s">
        <v>1918</v>
      </c>
      <c r="OH210" s="168" t="s">
        <v>772</v>
      </c>
      <c r="OI210" s="168" t="s">
        <v>766</v>
      </c>
      <c r="OJ210" s="168" t="s">
        <v>3240</v>
      </c>
      <c r="OK210" s="168" t="s">
        <v>796</v>
      </c>
    </row>
    <row r="211" spans="1:401" x14ac:dyDescent="0.2">
      <c r="A211" s="170" t="str">
        <f>Liste[[#This Row],[Siren]]</f>
        <v>794907600</v>
      </c>
      <c r="B211" s="198" t="str">
        <f>Liste[[#This Row],[Dénomination]]&amp;" - comptes "&amp;YEAR(Liste[[#This Row],[Date de cloture de l''exercice]])</f>
        <v>PHM France Topco 19 SAS - comptes 2017</v>
      </c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168">
        <v>167174000</v>
      </c>
      <c r="S211" s="168">
        <v>129072000</v>
      </c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168">
        <v>809952000</v>
      </c>
      <c r="EI211" s="168">
        <v>685747000</v>
      </c>
      <c r="EJ211" s="21"/>
      <c r="EK211" s="21"/>
      <c r="EL211" s="168">
        <v>1286491000</v>
      </c>
      <c r="EM211" s="168">
        <v>1118648000</v>
      </c>
      <c r="EN211" s="21"/>
      <c r="EO211" s="21"/>
      <c r="EP211" s="168">
        <v>169001000</v>
      </c>
      <c r="EQ211" s="168">
        <v>135819000</v>
      </c>
      <c r="ER211" s="21"/>
      <c r="ES211" s="21"/>
      <c r="ET211" s="168">
        <v>1455491000</v>
      </c>
      <c r="EU211" s="168">
        <v>1254467000</v>
      </c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  <c r="FK211" s="21"/>
      <c r="FL211" s="21"/>
      <c r="FM211" s="21"/>
      <c r="FN211" s="21"/>
      <c r="FO211" s="21"/>
      <c r="FP211" s="21"/>
      <c r="FQ211" s="21"/>
      <c r="FR211" s="21"/>
      <c r="FS211" s="21"/>
      <c r="FT211" s="21"/>
      <c r="FU211" s="21"/>
      <c r="FV211" s="21"/>
      <c r="FW211" s="168">
        <v>-12729000</v>
      </c>
      <c r="FX211" s="168">
        <v>-23045000</v>
      </c>
      <c r="FY211" s="168">
        <v>81000</v>
      </c>
      <c r="FZ211" s="168">
        <v>77000</v>
      </c>
      <c r="GA211" s="21"/>
      <c r="GB211" s="21"/>
      <c r="GC211" s="21"/>
      <c r="GD211" s="21"/>
      <c r="GE211" s="21"/>
      <c r="GF211" s="21"/>
      <c r="GG211" s="21"/>
      <c r="GH211" s="21"/>
      <c r="GI211" s="21"/>
      <c r="GJ211" s="21"/>
      <c r="GK211" s="21"/>
      <c r="GL211" s="21"/>
      <c r="GM211" s="168">
        <v>30325000</v>
      </c>
      <c r="GN211" s="168">
        <v>19078000</v>
      </c>
      <c r="GO211" s="21"/>
      <c r="GP211" s="21"/>
      <c r="GQ211" s="21"/>
      <c r="GR211" s="21"/>
      <c r="GS211" s="168">
        <v>30244000</v>
      </c>
      <c r="GT211" s="168">
        <v>19001000</v>
      </c>
      <c r="GU211" s="21"/>
      <c r="GV211" s="21"/>
      <c r="GW211" s="21"/>
      <c r="GX211" s="21"/>
      <c r="GY211" s="168">
        <v>-59095000</v>
      </c>
      <c r="GZ211" s="168">
        <v>-47048000</v>
      </c>
      <c r="HA211" s="21"/>
      <c r="HB211" s="21"/>
      <c r="HC211" s="168">
        <v>-161658000</v>
      </c>
      <c r="HD211" s="168">
        <v>-144283000</v>
      </c>
      <c r="HE211" s="21"/>
      <c r="HF211" s="21"/>
      <c r="HG211" s="21"/>
      <c r="HH211" s="21"/>
      <c r="HI211" s="21"/>
      <c r="HJ211" s="21"/>
      <c r="HK211" s="21"/>
      <c r="HL211" s="21"/>
      <c r="HM211" s="21"/>
      <c r="HN211" s="21"/>
      <c r="HO211" s="168">
        <v>-247450000</v>
      </c>
      <c r="HP211" s="168">
        <v>-223707000</v>
      </c>
      <c r="HQ211" s="21"/>
      <c r="HR211" s="21"/>
      <c r="HS211" s="21"/>
      <c r="HT211" s="21"/>
      <c r="HU211" s="168">
        <v>-40592000</v>
      </c>
      <c r="HV211" s="168">
        <v>-36564000</v>
      </c>
      <c r="HW211" s="21"/>
      <c r="HX211" s="21"/>
      <c r="HY211" s="21"/>
      <c r="HZ211" s="21"/>
      <c r="IA211" s="21"/>
      <c r="IB211" s="21"/>
      <c r="IC211" s="21"/>
      <c r="ID211" s="21"/>
      <c r="IE211" s="168">
        <v>-14888000</v>
      </c>
      <c r="IF211" s="168">
        <v>-13459000</v>
      </c>
      <c r="IG211" s="21"/>
      <c r="IH211" s="21"/>
      <c r="II211" s="21"/>
      <c r="IJ211" s="21"/>
      <c r="IK211" s="21"/>
      <c r="IL211" s="21"/>
      <c r="IM211" s="21"/>
      <c r="IN211" s="21"/>
      <c r="IO211" s="21"/>
      <c r="IP211" s="21"/>
      <c r="IQ211" s="21"/>
      <c r="IR211" s="21"/>
      <c r="IS211" s="21"/>
      <c r="IT211" s="21"/>
      <c r="IU211" s="21"/>
      <c r="IV211" s="21"/>
      <c r="IW211" s="168">
        <v>111361000</v>
      </c>
      <c r="IX211" s="168">
        <v>91388000</v>
      </c>
      <c r="IY211" s="168">
        <v>103263000</v>
      </c>
      <c r="IZ211" s="168">
        <v>80969000</v>
      </c>
      <c r="JA211" s="21"/>
      <c r="JB211" s="21"/>
      <c r="JC211" s="21"/>
      <c r="JD211" s="21"/>
      <c r="JE211" s="21"/>
      <c r="JF211" s="21"/>
      <c r="JG211" s="21"/>
      <c r="JH211" s="21"/>
      <c r="JI211" s="21"/>
      <c r="JJ211" s="21"/>
      <c r="JK211" s="21"/>
      <c r="JL211" s="21"/>
      <c r="JM211" s="21"/>
      <c r="JN211" s="21"/>
      <c r="JO211" s="21"/>
      <c r="JP211" s="21"/>
      <c r="JQ211" s="21"/>
      <c r="JR211" s="21"/>
      <c r="JS211" s="21"/>
      <c r="JT211" s="21"/>
      <c r="JU211" s="21"/>
      <c r="JV211" s="21"/>
      <c r="JW211" s="21"/>
      <c r="JX211" s="21"/>
      <c r="JY211" s="21"/>
      <c r="JZ211" s="21"/>
      <c r="KA211" s="21"/>
      <c r="KB211" s="21"/>
      <c r="KC211" s="21"/>
      <c r="KD211" s="21"/>
      <c r="KE211" s="21"/>
      <c r="KF211" s="21"/>
      <c r="KG211" s="21"/>
      <c r="KH211" s="21"/>
      <c r="KI211" s="21"/>
      <c r="KJ211" s="21"/>
      <c r="KK211" s="21"/>
      <c r="KL211" s="21"/>
      <c r="KM211" s="21"/>
      <c r="KN211" s="21"/>
      <c r="KO211" s="21"/>
      <c r="KP211" s="21"/>
      <c r="KQ211" s="21"/>
      <c r="KR211" s="21"/>
      <c r="KS211" s="21"/>
      <c r="KT211" s="21"/>
      <c r="KU211" s="21"/>
      <c r="KV211" s="21"/>
      <c r="KW211" s="21"/>
      <c r="KX211" s="21"/>
      <c r="KY211" s="21"/>
      <c r="KZ211" s="21"/>
      <c r="LA211" s="168">
        <v>172984000</v>
      </c>
      <c r="LB211" s="168">
        <v>160031000</v>
      </c>
      <c r="LC211" s="21"/>
      <c r="LD211" s="21"/>
      <c r="LE211" s="21"/>
      <c r="LF211" s="21"/>
      <c r="LG211" s="21"/>
      <c r="LH211" s="21"/>
      <c r="LI211" s="21"/>
      <c r="LJ211" s="21"/>
      <c r="LK211" s="21"/>
      <c r="LL211" s="21"/>
      <c r="LM211" s="21"/>
      <c r="LN211" s="21"/>
      <c r="LO211" s="21"/>
      <c r="LP211" s="21"/>
      <c r="LQ211" s="21"/>
      <c r="LR211" s="21"/>
      <c r="LS211" s="21"/>
      <c r="LT211" s="21"/>
      <c r="LU211" s="21"/>
      <c r="LV211" s="21"/>
      <c r="LW211" s="21"/>
      <c r="LX211" s="21"/>
      <c r="LY211" s="21"/>
      <c r="LZ211" s="21"/>
      <c r="MA211" s="21"/>
      <c r="MB211" s="21"/>
      <c r="MC211" s="21"/>
      <c r="MD211" s="21"/>
      <c r="ME211" s="21"/>
      <c r="MF211" s="21"/>
      <c r="MG211" s="168">
        <v>40965000</v>
      </c>
      <c r="MH211" s="168">
        <v>45801000</v>
      </c>
      <c r="MI211" s="168">
        <v>14833000</v>
      </c>
      <c r="MJ211" s="168">
        <v>11465000</v>
      </c>
      <c r="MK211" s="21"/>
      <c r="ML211" s="21"/>
      <c r="MM211" s="21"/>
      <c r="MN211" s="21"/>
      <c r="MO211" s="21"/>
      <c r="MP211" s="21"/>
      <c r="MQ211" s="21"/>
      <c r="MR211" s="21"/>
      <c r="MS211" s="21"/>
      <c r="MT211" s="21"/>
      <c r="MU211" s="21"/>
      <c r="MV211" s="21"/>
      <c r="MW211" s="21"/>
      <c r="MX211" s="21"/>
      <c r="MY211" s="21"/>
      <c r="MZ211" s="21"/>
      <c r="NA211" s="21"/>
      <c r="NB211" s="21"/>
      <c r="NC211" s="21"/>
      <c r="ND211" s="21"/>
      <c r="NE211" s="21"/>
      <c r="NF211" s="21"/>
      <c r="NG211" s="168">
        <v>251491000</v>
      </c>
      <c r="NH211" s="168">
        <v>204393000</v>
      </c>
      <c r="NI211" s="21"/>
      <c r="NJ211" s="21"/>
      <c r="NK211" s="21"/>
      <c r="NL211" s="21"/>
      <c r="NM211" s="168">
        <v>1162241000</v>
      </c>
      <c r="NN211" s="168">
        <v>1003498000</v>
      </c>
      <c r="NO211" s="168">
        <v>1455491000</v>
      </c>
      <c r="NP211" s="168">
        <v>1254467000</v>
      </c>
      <c r="NQ211" s="168" t="s">
        <v>847</v>
      </c>
      <c r="NR211" s="168" t="s">
        <v>769</v>
      </c>
      <c r="NS211" s="168" t="s">
        <v>770</v>
      </c>
      <c r="NT211" s="168" t="s">
        <v>771</v>
      </c>
      <c r="NU211" s="168">
        <v>7501</v>
      </c>
      <c r="NV211" s="168" t="s">
        <v>2104</v>
      </c>
      <c r="NW211" s="168" t="s">
        <v>28</v>
      </c>
      <c r="NX211" s="168" t="s">
        <v>25</v>
      </c>
      <c r="NY211" s="169">
        <v>42825</v>
      </c>
      <c r="NZ211" s="169">
        <v>42460</v>
      </c>
      <c r="OA211" s="169">
        <v>42920</v>
      </c>
      <c r="OB211" s="168" t="s">
        <v>1435</v>
      </c>
      <c r="OC211" s="168">
        <v>12</v>
      </c>
      <c r="OD211" s="168" t="s">
        <v>2106</v>
      </c>
      <c r="OE211" s="168" t="s">
        <v>2534</v>
      </c>
      <c r="OF211" s="168" t="s">
        <v>2535</v>
      </c>
      <c r="OG211" s="168" t="s">
        <v>2016</v>
      </c>
      <c r="OH211" s="168" t="s">
        <v>765</v>
      </c>
      <c r="OI211" s="168" t="s">
        <v>766</v>
      </c>
      <c r="OJ211" s="168" t="s">
        <v>3240</v>
      </c>
      <c r="OK211" s="168" t="s">
        <v>767</v>
      </c>
    </row>
    <row r="212" spans="1:401" x14ac:dyDescent="0.2">
      <c r="A212" s="170" t="str">
        <f>Liste[[#This Row],[Siren]]</f>
        <v>353796980</v>
      </c>
      <c r="B212" s="198" t="str">
        <f>Liste[[#This Row],[Dénomination]]&amp;" - comptes "&amp;YEAR(Liste[[#This Row],[Date de cloture de l''exercice]])</f>
        <v>ACECOM - comptes 2017</v>
      </c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168">
        <v>2229000</v>
      </c>
      <c r="BA212" s="168">
        <v>2428000</v>
      </c>
      <c r="BB212" s="168">
        <v>2229000</v>
      </c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168">
        <v>1451000</v>
      </c>
      <c r="BY212" s="168">
        <v>4118000</v>
      </c>
      <c r="BZ212" s="168">
        <v>1451000</v>
      </c>
      <c r="CA212" s="21"/>
      <c r="CB212" s="21"/>
      <c r="CC212" s="21"/>
      <c r="CD212" s="168">
        <v>17110000</v>
      </c>
      <c r="CE212" s="168">
        <v>3587000</v>
      </c>
      <c r="CF212" s="168">
        <v>4542000</v>
      </c>
      <c r="CG212" s="168">
        <v>20696000</v>
      </c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168">
        <v>27095000</v>
      </c>
      <c r="EL212" s="168">
        <v>6856000</v>
      </c>
      <c r="EM212" s="168">
        <v>6865000</v>
      </c>
      <c r="EN212" s="168">
        <v>33951000</v>
      </c>
      <c r="EO212" s="168">
        <v>1006000</v>
      </c>
      <c r="EP212" s="168">
        <v>31483000</v>
      </c>
      <c r="EQ212" s="168">
        <v>32408000</v>
      </c>
      <c r="ER212" s="168">
        <v>32489000</v>
      </c>
      <c r="ES212" s="168">
        <v>28101000</v>
      </c>
      <c r="ET212" s="168">
        <v>38339000</v>
      </c>
      <c r="EU212" s="168">
        <v>39273000</v>
      </c>
      <c r="EV212" s="168">
        <v>66440000</v>
      </c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  <c r="FH212" s="21"/>
      <c r="FI212" s="168">
        <v>-185000</v>
      </c>
      <c r="FJ212" s="168">
        <v>19000</v>
      </c>
      <c r="FK212" s="21"/>
      <c r="FL212" s="21"/>
      <c r="FM212" s="21"/>
      <c r="FN212" s="21"/>
      <c r="FO212" s="21"/>
      <c r="FP212" s="21"/>
      <c r="FQ212" s="168">
        <v>-955000</v>
      </c>
      <c r="FR212" s="168">
        <v>-955000</v>
      </c>
      <c r="FS212" s="21"/>
      <c r="FT212" s="21"/>
      <c r="FU212" s="168">
        <v>52000</v>
      </c>
      <c r="FV212" s="168">
        <v>90000</v>
      </c>
      <c r="FW212" s="168">
        <v>-417000</v>
      </c>
      <c r="FX212" s="168">
        <v>-737000</v>
      </c>
      <c r="FY212" s="21"/>
      <c r="FZ212" s="21"/>
      <c r="GA212" s="21"/>
      <c r="GB212" s="21"/>
      <c r="GC212" s="21"/>
      <c r="GD212" s="21"/>
      <c r="GE212" s="21"/>
      <c r="GF212" s="21"/>
      <c r="GG212" s="21"/>
      <c r="GH212" s="21"/>
      <c r="GI212" s="21"/>
      <c r="GJ212" s="21"/>
      <c r="GK212" s="21"/>
      <c r="GL212" s="21"/>
      <c r="GM212" s="21"/>
      <c r="GN212" s="21"/>
      <c r="GO212" s="168">
        <v>2041000</v>
      </c>
      <c r="GP212" s="168">
        <v>2544000</v>
      </c>
      <c r="GQ212" s="21"/>
      <c r="GR212" s="21"/>
      <c r="GS212" s="21"/>
      <c r="GT212" s="21"/>
      <c r="GU212" s="21"/>
      <c r="GV212" s="21"/>
      <c r="GW212" s="21"/>
      <c r="GX212" s="21"/>
      <c r="GY212" s="21"/>
      <c r="GZ212" s="21"/>
      <c r="HA212" s="21"/>
      <c r="HB212" s="21"/>
      <c r="HC212" s="168">
        <v>-12459000</v>
      </c>
      <c r="HD212" s="168">
        <v>-11518000</v>
      </c>
      <c r="HE212" s="168">
        <v>-83000</v>
      </c>
      <c r="HF212" s="168">
        <v>-59000</v>
      </c>
      <c r="HG212" s="21"/>
      <c r="HH212" s="21"/>
      <c r="HI212" s="21"/>
      <c r="HJ212" s="21"/>
      <c r="HK212" s="21"/>
      <c r="HL212" s="21"/>
      <c r="HM212" s="21"/>
      <c r="HN212" s="21"/>
      <c r="HO212" s="21"/>
      <c r="HP212" s="21"/>
      <c r="HQ212" s="21"/>
      <c r="HR212" s="21"/>
      <c r="HS212" s="21"/>
      <c r="HT212" s="21"/>
      <c r="HU212" s="21"/>
      <c r="HV212" s="21"/>
      <c r="HW212" s="21"/>
      <c r="HX212" s="21"/>
      <c r="HY212" s="21"/>
      <c r="HZ212" s="21"/>
      <c r="IA212" s="21"/>
      <c r="IB212" s="21"/>
      <c r="IC212" s="21"/>
      <c r="ID212" s="21"/>
      <c r="IE212" s="168">
        <v>-787000</v>
      </c>
      <c r="IF212" s="168">
        <v>-671000</v>
      </c>
      <c r="IG212" s="21"/>
      <c r="IH212" s="168">
        <v>80</v>
      </c>
      <c r="II212" s="21"/>
      <c r="IJ212" s="21"/>
      <c r="IK212" s="21"/>
      <c r="IL212" s="21"/>
      <c r="IM212" s="21"/>
      <c r="IN212" s="21"/>
      <c r="IO212" s="21"/>
      <c r="IP212" s="21"/>
      <c r="IQ212" s="21"/>
      <c r="IR212" s="21"/>
      <c r="IS212" s="21"/>
      <c r="IT212" s="21"/>
      <c r="IU212" s="168">
        <v>2591000</v>
      </c>
      <c r="IV212" s="168">
        <v>3172000</v>
      </c>
      <c r="IW212" s="168">
        <v>2583000</v>
      </c>
      <c r="IX212" s="168">
        <v>3155000</v>
      </c>
      <c r="IY212" s="168">
        <v>8000</v>
      </c>
      <c r="IZ212" s="168">
        <v>17000</v>
      </c>
      <c r="JA212" s="168">
        <v>1075000</v>
      </c>
      <c r="JB212" s="168">
        <v>1088000</v>
      </c>
      <c r="JC212" s="21"/>
      <c r="JD212" s="21"/>
      <c r="JE212" s="21"/>
      <c r="JF212" s="21"/>
      <c r="JG212" s="21"/>
      <c r="JH212" s="21"/>
      <c r="JI212" s="168">
        <v>-94861000</v>
      </c>
      <c r="JJ212" s="168">
        <v>-89960000</v>
      </c>
      <c r="JK212" s="21"/>
      <c r="JL212" s="21"/>
      <c r="JM212" s="168">
        <v>97444000</v>
      </c>
      <c r="JN212" s="168">
        <v>93115000</v>
      </c>
      <c r="JO212" s="21"/>
      <c r="JP212" s="21"/>
      <c r="JQ212" s="21"/>
      <c r="JR212" s="21"/>
      <c r="JS212" s="21"/>
      <c r="JT212" s="21"/>
      <c r="JU212" s="21"/>
      <c r="JV212" s="21"/>
      <c r="JW212" s="168">
        <v>96369000</v>
      </c>
      <c r="JX212" s="168">
        <v>91926000</v>
      </c>
      <c r="JY212" s="21"/>
      <c r="JZ212" s="21"/>
      <c r="KA212" s="21"/>
      <c r="KB212" s="21"/>
      <c r="KC212" s="21"/>
      <c r="KD212" s="21"/>
      <c r="KE212" s="21"/>
      <c r="KF212" s="21"/>
      <c r="KG212" s="21"/>
      <c r="KH212" s="21"/>
      <c r="KI212" s="21"/>
      <c r="KJ212" s="21"/>
      <c r="KK212" s="21"/>
      <c r="KL212" s="21"/>
      <c r="KM212" s="21"/>
      <c r="KN212" s="21"/>
      <c r="KO212" s="21"/>
      <c r="KP212" s="21"/>
      <c r="KQ212" s="21"/>
      <c r="KR212" s="21"/>
      <c r="KS212" s="21"/>
      <c r="KT212" s="21"/>
      <c r="KU212" s="21"/>
      <c r="KV212" s="21"/>
      <c r="KW212" s="21"/>
      <c r="KX212" s="21"/>
      <c r="KY212" s="21"/>
      <c r="KZ212" s="21"/>
      <c r="LA212" s="21"/>
      <c r="LB212" s="21"/>
      <c r="LC212" s="21"/>
      <c r="LD212" s="21"/>
      <c r="LE212" s="21"/>
      <c r="LF212" s="21"/>
      <c r="LG212" s="21"/>
      <c r="LH212" s="21"/>
      <c r="LI212" s="21"/>
      <c r="LJ212" s="21"/>
      <c r="LK212" s="21"/>
      <c r="LL212" s="21"/>
      <c r="LM212" s="21"/>
      <c r="LN212" s="21"/>
      <c r="LO212" s="21"/>
      <c r="LP212" s="21"/>
      <c r="LQ212" s="21"/>
      <c r="LR212" s="21"/>
      <c r="LS212" s="21"/>
      <c r="LT212" s="21"/>
      <c r="LU212" s="21"/>
      <c r="LV212" s="21"/>
      <c r="LW212" s="21"/>
      <c r="LX212" s="21"/>
      <c r="LY212" s="21"/>
      <c r="LZ212" s="21"/>
      <c r="MA212" s="21"/>
      <c r="MB212" s="21"/>
      <c r="MC212" s="168">
        <v>2778000</v>
      </c>
      <c r="MD212" s="168">
        <v>1242000</v>
      </c>
      <c r="ME212" s="21"/>
      <c r="MF212" s="21"/>
      <c r="MG212" s="21"/>
      <c r="MH212" s="21"/>
      <c r="MI212" s="21"/>
      <c r="MJ212" s="21"/>
      <c r="MK212" s="21"/>
      <c r="ML212" s="21"/>
      <c r="MM212" s="168">
        <v>1636000</v>
      </c>
      <c r="MN212" s="168">
        <v>2072000</v>
      </c>
      <c r="MO212" s="21"/>
      <c r="MP212" s="21"/>
      <c r="MQ212" s="21"/>
      <c r="MR212" s="21"/>
      <c r="MS212" s="21"/>
      <c r="MT212" s="21"/>
      <c r="MU212" s="21"/>
      <c r="MV212" s="21"/>
      <c r="MW212" s="21"/>
      <c r="MX212" s="21"/>
      <c r="MY212" s="21"/>
      <c r="MZ212" s="21"/>
      <c r="NA212" s="21"/>
      <c r="NB212" s="21"/>
      <c r="NC212" s="168">
        <v>1087000</v>
      </c>
      <c r="ND212" s="168">
        <v>1590000</v>
      </c>
      <c r="NE212" s="21"/>
      <c r="NF212" s="21"/>
      <c r="NG212" s="168">
        <v>17079000</v>
      </c>
      <c r="NH212" s="168">
        <v>18793000</v>
      </c>
      <c r="NI212" s="21"/>
      <c r="NJ212" s="21"/>
      <c r="NK212" s="21"/>
      <c r="NL212" s="21"/>
      <c r="NM212" s="168">
        <v>20376000</v>
      </c>
      <c r="NN212" s="168">
        <v>19820000</v>
      </c>
      <c r="NO212" s="168">
        <v>38339000</v>
      </c>
      <c r="NP212" s="168">
        <v>39273000</v>
      </c>
      <c r="NQ212" s="168" t="s">
        <v>993</v>
      </c>
      <c r="NR212" s="168" t="s">
        <v>872</v>
      </c>
      <c r="NS212" s="168" t="s">
        <v>770</v>
      </c>
      <c r="NT212" s="168" t="s">
        <v>771</v>
      </c>
      <c r="NU212" s="168">
        <v>8701</v>
      </c>
      <c r="NV212" s="168" t="s">
        <v>2104</v>
      </c>
      <c r="NW212" s="168" t="s">
        <v>28</v>
      </c>
      <c r="NX212" s="168" t="s">
        <v>25</v>
      </c>
      <c r="NY212" s="169">
        <v>42825</v>
      </c>
      <c r="NZ212" s="169">
        <v>42460</v>
      </c>
      <c r="OA212" s="169">
        <v>43021</v>
      </c>
      <c r="OB212" s="168" t="s">
        <v>1475</v>
      </c>
      <c r="OC212" s="168">
        <v>12</v>
      </c>
      <c r="OD212" s="168" t="s">
        <v>2105</v>
      </c>
      <c r="OE212" s="168" t="s">
        <v>2458</v>
      </c>
      <c r="OF212" s="168" t="s">
        <v>2570</v>
      </c>
      <c r="OG212" s="168" t="s">
        <v>2039</v>
      </c>
      <c r="OH212" s="168" t="s">
        <v>992</v>
      </c>
      <c r="OI212" s="168" t="s">
        <v>766</v>
      </c>
      <c r="OJ212" s="168" t="s">
        <v>3240</v>
      </c>
      <c r="OK212" s="168" t="s">
        <v>871</v>
      </c>
    </row>
    <row r="213" spans="1:401" x14ac:dyDescent="0.2">
      <c r="A213" s="170" t="str">
        <f>Liste[[#This Row],[Siren]]</f>
        <v>499459204</v>
      </c>
      <c r="B213" s="198" t="str">
        <f>Liste[[#This Row],[Dénomination]]&amp;" - comptes "&amp;YEAR(Liste[[#This Row],[Date de cloture de l''exercice]])</f>
        <v>FINANCIERE SPL - comptes 2017</v>
      </c>
      <c r="C213" s="21"/>
      <c r="D213" s="21"/>
      <c r="E213" s="21"/>
      <c r="F213" s="168">
        <v>3785224</v>
      </c>
      <c r="G213" s="168">
        <v>3320216</v>
      </c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168">
        <v>27331852</v>
      </c>
      <c r="CF213" s="168">
        <v>27331852</v>
      </c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168">
        <v>13640184</v>
      </c>
      <c r="EM213" s="168">
        <v>15403180</v>
      </c>
      <c r="EN213" s="21"/>
      <c r="EO213" s="21"/>
      <c r="EP213" s="168">
        <v>68539555</v>
      </c>
      <c r="EQ213" s="168">
        <v>64948434</v>
      </c>
      <c r="ER213" s="21"/>
      <c r="ES213" s="21"/>
      <c r="ET213" s="168">
        <v>82179739</v>
      </c>
      <c r="EU213" s="168">
        <v>80351614</v>
      </c>
      <c r="EV213" s="21"/>
      <c r="EW213" s="21"/>
      <c r="EX213" s="21"/>
      <c r="EY213" s="21"/>
      <c r="EZ213" s="21"/>
      <c r="FA213" s="21"/>
      <c r="FB213" s="168">
        <v>249239</v>
      </c>
      <c r="FC213" s="168">
        <v>610069</v>
      </c>
      <c r="FD213" s="21"/>
      <c r="FE213" s="21"/>
      <c r="FF213" s="168">
        <v>14926</v>
      </c>
      <c r="FG213" s="168">
        <v>14926</v>
      </c>
      <c r="FH213" s="21"/>
      <c r="FI213" s="168">
        <v>-167088</v>
      </c>
      <c r="FJ213" s="168">
        <v>-393242</v>
      </c>
      <c r="FK213" s="21"/>
      <c r="FL213" s="21"/>
      <c r="FM213" s="21"/>
      <c r="FN213" s="21"/>
      <c r="FO213" s="21"/>
      <c r="FP213" s="21"/>
      <c r="FQ213" s="21"/>
      <c r="FR213" s="21"/>
      <c r="FS213" s="21"/>
      <c r="FT213" s="21"/>
      <c r="FU213" s="168">
        <v>-149029</v>
      </c>
      <c r="FV213" s="168">
        <v>-23000</v>
      </c>
      <c r="FW213" s="168">
        <v>802641</v>
      </c>
      <c r="FX213" s="168">
        <v>410168</v>
      </c>
      <c r="FY213" s="168">
        <v>566158</v>
      </c>
      <c r="FZ213" s="168">
        <v>845966</v>
      </c>
      <c r="GA213" s="21"/>
      <c r="GB213" s="21"/>
      <c r="GC213" s="21"/>
      <c r="GD213" s="21"/>
      <c r="GE213" s="21"/>
      <c r="GF213" s="21"/>
      <c r="GG213" s="21"/>
      <c r="GH213" s="21"/>
      <c r="GI213" s="21"/>
      <c r="GJ213" s="21"/>
      <c r="GK213" s="21"/>
      <c r="GL213" s="21"/>
      <c r="GM213" s="168">
        <v>1648350</v>
      </c>
      <c r="GN213" s="168">
        <v>440310</v>
      </c>
      <c r="GO213" s="168">
        <v>2655345</v>
      </c>
      <c r="GP213" s="168">
        <v>81363910</v>
      </c>
      <c r="GQ213" s="21"/>
      <c r="GR213" s="21"/>
      <c r="GS213" s="21"/>
      <c r="GT213" s="21"/>
      <c r="GU213" s="21"/>
      <c r="GV213" s="21"/>
      <c r="GW213" s="21"/>
      <c r="GX213" s="21"/>
      <c r="GY213" s="21"/>
      <c r="GZ213" s="21"/>
      <c r="HA213" s="21"/>
      <c r="HB213" s="21"/>
      <c r="HC213" s="21"/>
      <c r="HD213" s="21"/>
      <c r="HE213" s="168">
        <v>3265377</v>
      </c>
      <c r="HF213" s="168">
        <v>3861927</v>
      </c>
      <c r="HG213" s="21"/>
      <c r="HH213" s="21"/>
      <c r="HI213" s="168">
        <v>-8836232</v>
      </c>
      <c r="HJ213" s="168">
        <v>9469823</v>
      </c>
      <c r="HK213" s="21"/>
      <c r="HL213" s="21"/>
      <c r="HM213" s="21"/>
      <c r="HN213" s="21"/>
      <c r="HO213" s="21"/>
      <c r="HP213" s="21"/>
      <c r="HQ213" s="21"/>
      <c r="HR213" s="21"/>
      <c r="HS213" s="21"/>
      <c r="HT213" s="21"/>
      <c r="HU213" s="168">
        <v>1137335</v>
      </c>
      <c r="HV213" s="168">
        <v>182368</v>
      </c>
      <c r="HW213" s="21"/>
      <c r="HX213" s="21"/>
      <c r="HY213" s="21"/>
      <c r="HZ213" s="21"/>
      <c r="IA213" s="21"/>
      <c r="IB213" s="21"/>
      <c r="IC213" s="21"/>
      <c r="ID213" s="21"/>
      <c r="IE213" s="168">
        <v>180569</v>
      </c>
      <c r="IF213" s="168">
        <v>174171</v>
      </c>
      <c r="IG213" s="21"/>
      <c r="IH213" s="21"/>
      <c r="II213" s="21"/>
      <c r="IJ213" s="21"/>
      <c r="IK213" s="21"/>
      <c r="IL213" s="21"/>
      <c r="IM213" s="21"/>
      <c r="IN213" s="21"/>
      <c r="IO213" s="21"/>
      <c r="IP213" s="21"/>
      <c r="IQ213" s="21"/>
      <c r="IR213" s="21"/>
      <c r="IS213" s="21"/>
      <c r="IT213" s="21"/>
      <c r="IU213" s="168">
        <v>3476045</v>
      </c>
      <c r="IV213" s="168">
        <v>2144320</v>
      </c>
      <c r="IW213" s="168">
        <v>42523077</v>
      </c>
      <c r="IX213" s="168">
        <v>-871065</v>
      </c>
      <c r="IY213" s="168">
        <v>-740371</v>
      </c>
      <c r="IZ213" s="168">
        <v>-710115</v>
      </c>
      <c r="JA213" s="21"/>
      <c r="JB213" s="21"/>
      <c r="JC213" s="21"/>
      <c r="JD213" s="21"/>
      <c r="JE213" s="21"/>
      <c r="JF213" s="21"/>
      <c r="JG213" s="21"/>
      <c r="JH213" s="21"/>
      <c r="JI213" s="168">
        <v>57449180</v>
      </c>
      <c r="JJ213" s="168">
        <v>49589593</v>
      </c>
      <c r="JK213" s="168">
        <v>742236</v>
      </c>
      <c r="JL213" s="168">
        <v>713442</v>
      </c>
      <c r="JM213" s="168">
        <v>61701487</v>
      </c>
      <c r="JN213" s="168">
        <v>52460658</v>
      </c>
      <c r="JO213" s="168">
        <v>1865</v>
      </c>
      <c r="JP213" s="168">
        <v>3327</v>
      </c>
      <c r="JQ213" s="21"/>
      <c r="JR213" s="21"/>
      <c r="JS213" s="21"/>
      <c r="JT213" s="21"/>
      <c r="JU213" s="21"/>
      <c r="JV213" s="21"/>
      <c r="JW213" s="168">
        <v>70537719</v>
      </c>
      <c r="JX213" s="168">
        <v>42990835</v>
      </c>
      <c r="JY213" s="21"/>
      <c r="JZ213" s="21"/>
      <c r="KA213" s="21"/>
      <c r="KB213" s="21"/>
      <c r="KC213" s="21"/>
      <c r="KD213" s="21"/>
      <c r="KE213" s="21"/>
      <c r="KF213" s="21"/>
      <c r="KG213" s="21"/>
      <c r="KH213" s="21"/>
      <c r="KI213" s="21"/>
      <c r="KJ213" s="21"/>
      <c r="KK213" s="21"/>
      <c r="KL213" s="21"/>
      <c r="KM213" s="21"/>
      <c r="KN213" s="21"/>
      <c r="KO213" s="21"/>
      <c r="KP213" s="21"/>
      <c r="KQ213" s="168">
        <v>12912482</v>
      </c>
      <c r="KR213" s="168">
        <v>13754306</v>
      </c>
      <c r="KS213" s="21"/>
      <c r="KT213" s="21"/>
      <c r="KU213" s="21"/>
      <c r="KV213" s="21"/>
      <c r="KW213" s="21"/>
      <c r="KX213" s="21"/>
      <c r="KY213" s="21"/>
      <c r="KZ213" s="21"/>
      <c r="LA213" s="168">
        <v>15500000</v>
      </c>
      <c r="LB213" s="168">
        <v>15500000</v>
      </c>
      <c r="LC213" s="21"/>
      <c r="LD213" s="21"/>
      <c r="LE213" s="21"/>
      <c r="LF213" s="21"/>
      <c r="LG213" s="21"/>
      <c r="LH213" s="21"/>
      <c r="LI213" s="21"/>
      <c r="LJ213" s="21"/>
      <c r="LK213" s="168">
        <v>11356233</v>
      </c>
      <c r="LL213" s="168">
        <v>7958902</v>
      </c>
      <c r="LM213" s="21"/>
      <c r="LN213" s="21"/>
      <c r="LO213" s="21"/>
      <c r="LP213" s="21"/>
      <c r="LQ213" s="21"/>
      <c r="LR213" s="21"/>
      <c r="LS213" s="21"/>
      <c r="LT213" s="21"/>
      <c r="LU213" s="21"/>
      <c r="LV213" s="21"/>
      <c r="LW213" s="21"/>
      <c r="LX213" s="21"/>
      <c r="LY213" s="21"/>
      <c r="LZ213" s="21"/>
      <c r="MA213" s="168">
        <v>4768984</v>
      </c>
      <c r="MB213" s="168">
        <v>10382912</v>
      </c>
      <c r="MC213" s="168">
        <v>14646258</v>
      </c>
      <c r="MD213" s="168">
        <v>16549574</v>
      </c>
      <c r="ME213" s="168">
        <v>9365274</v>
      </c>
      <c r="MF213" s="168">
        <v>7406241</v>
      </c>
      <c r="MG213" s="21"/>
      <c r="MH213" s="21"/>
      <c r="MI213" s="21"/>
      <c r="MJ213" s="21"/>
      <c r="MK213" s="21"/>
      <c r="ML213" s="21"/>
      <c r="MM213" s="21"/>
      <c r="MN213" s="21"/>
      <c r="MO213" s="21"/>
      <c r="MP213" s="21"/>
      <c r="MQ213" s="21"/>
      <c r="MR213" s="21"/>
      <c r="MS213" s="21"/>
      <c r="MT213" s="21"/>
      <c r="MU213" s="21"/>
      <c r="MV213" s="21"/>
      <c r="MW213" s="21"/>
      <c r="MX213" s="21"/>
      <c r="MY213" s="21"/>
      <c r="MZ213" s="21"/>
      <c r="NA213" s="21"/>
      <c r="NB213" s="21"/>
      <c r="NC213" s="168">
        <v>1082192</v>
      </c>
      <c r="ND213" s="168">
        <v>-405656</v>
      </c>
      <c r="NE213" s="21"/>
      <c r="NF213" s="21"/>
      <c r="NG213" s="168">
        <v>5996155</v>
      </c>
      <c r="NH213" s="168">
        <v>4914789</v>
      </c>
      <c r="NI213" s="21"/>
      <c r="NJ213" s="21"/>
      <c r="NK213" s="21"/>
      <c r="NL213" s="21"/>
      <c r="NM213" s="168">
        <v>74200157</v>
      </c>
      <c r="NN213" s="168">
        <v>73202490</v>
      </c>
      <c r="NO213" s="168">
        <v>82179739</v>
      </c>
      <c r="NP213" s="168">
        <v>80351614</v>
      </c>
      <c r="NQ213" s="168" t="s">
        <v>836</v>
      </c>
      <c r="NR213" s="168" t="s">
        <v>769</v>
      </c>
      <c r="NS213" s="168" t="s">
        <v>770</v>
      </c>
      <c r="NT213" s="168" t="s">
        <v>771</v>
      </c>
      <c r="NU213" s="168">
        <v>7501</v>
      </c>
      <c r="NV213" s="168" t="s">
        <v>2104</v>
      </c>
      <c r="NW213" s="168" t="s">
        <v>28</v>
      </c>
      <c r="NX213" s="168" t="s">
        <v>25</v>
      </c>
      <c r="NY213" s="169">
        <v>42825</v>
      </c>
      <c r="NZ213" s="169">
        <v>42460</v>
      </c>
      <c r="OA213" s="169">
        <v>43020</v>
      </c>
      <c r="OB213" s="168" t="s">
        <v>1296</v>
      </c>
      <c r="OC213" s="168">
        <v>12</v>
      </c>
      <c r="OD213" s="168" t="s">
        <v>2105</v>
      </c>
      <c r="OE213" s="168" t="s">
        <v>2571</v>
      </c>
      <c r="OF213" s="168" t="s">
        <v>2442</v>
      </c>
      <c r="OG213" s="168" t="s">
        <v>1959</v>
      </c>
      <c r="OH213" s="168" t="s">
        <v>765</v>
      </c>
      <c r="OI213" s="168" t="s">
        <v>766</v>
      </c>
      <c r="OJ213" s="168" t="s">
        <v>3240</v>
      </c>
      <c r="OK213" s="168" t="s">
        <v>767</v>
      </c>
    </row>
    <row r="214" spans="1:401" x14ac:dyDescent="0.2">
      <c r="A214" s="170" t="str">
        <f>Liste[[#This Row],[Siren]]</f>
        <v>335186094</v>
      </c>
      <c r="B214" s="198" t="str">
        <f>Liste[[#This Row],[Dénomination]]&amp;" - comptes "&amp;YEAR(Liste[[#This Row],[Date de cloture de l''exercice]])</f>
        <v>UBISOFT ENTERTAINMENT - comptes 2017</v>
      </c>
      <c r="C214" s="21"/>
      <c r="D214" s="21"/>
      <c r="E214" s="21"/>
      <c r="F214" s="168">
        <v>146467000</v>
      </c>
      <c r="G214" s="168">
        <v>100985000</v>
      </c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168">
        <v>736465000</v>
      </c>
      <c r="S214" s="168">
        <v>647602000</v>
      </c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168">
        <v>405557000</v>
      </c>
      <c r="BE214" s="168">
        <v>419577000</v>
      </c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168">
        <v>180735000</v>
      </c>
      <c r="EI214" s="168">
        <v>106194000</v>
      </c>
      <c r="EJ214" s="21"/>
      <c r="EK214" s="21"/>
      <c r="EL214" s="168">
        <v>1117815000</v>
      </c>
      <c r="EM214" s="168">
        <v>964274000</v>
      </c>
      <c r="EN214" s="21"/>
      <c r="EO214" s="21"/>
      <c r="EP214" s="168">
        <v>1464180000</v>
      </c>
      <c r="EQ214" s="168">
        <v>1056555000</v>
      </c>
      <c r="ER214" s="21"/>
      <c r="ES214" s="21"/>
      <c r="ET214" s="168">
        <v>2581995000</v>
      </c>
      <c r="EU214" s="168">
        <v>2020829000</v>
      </c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  <c r="FH214" s="21"/>
      <c r="FI214" s="21"/>
      <c r="FJ214" s="21"/>
      <c r="FK214" s="21"/>
      <c r="FL214" s="21"/>
      <c r="FM214" s="21"/>
      <c r="FN214" s="21"/>
      <c r="FO214" s="21"/>
      <c r="FP214" s="21"/>
      <c r="FQ214" s="21"/>
      <c r="FR214" s="21"/>
      <c r="FS214" s="21"/>
      <c r="FT214" s="21"/>
      <c r="FU214" s="21"/>
      <c r="FV214" s="21"/>
      <c r="FW214" s="168">
        <v>51457000</v>
      </c>
      <c r="FX214" s="168">
        <v>-29654000</v>
      </c>
      <c r="FY214" s="21"/>
      <c r="FZ214" s="21"/>
      <c r="GA214" s="21"/>
      <c r="GB214" s="21"/>
      <c r="GC214" s="21"/>
      <c r="GD214" s="21"/>
      <c r="GE214" s="21"/>
      <c r="GF214" s="21"/>
      <c r="GG214" s="21"/>
      <c r="GH214" s="21"/>
      <c r="GI214" s="21"/>
      <c r="GJ214" s="21"/>
      <c r="GK214" s="21"/>
      <c r="GL214" s="21"/>
      <c r="GM214" s="21"/>
      <c r="GN214" s="21"/>
      <c r="GO214" s="21"/>
      <c r="GP214" s="21"/>
      <c r="GQ214" s="21"/>
      <c r="GR214" s="21"/>
      <c r="GS214" s="21"/>
      <c r="GT214" s="21"/>
      <c r="GU214" s="21"/>
      <c r="GV214" s="21"/>
      <c r="GW214" s="21"/>
      <c r="GX214" s="21"/>
      <c r="GY214" s="21"/>
      <c r="GZ214" s="21"/>
      <c r="HA214" s="21"/>
      <c r="HB214" s="21"/>
      <c r="HC214" s="21"/>
      <c r="HD214" s="21"/>
      <c r="HE214" s="168">
        <v>-5449000</v>
      </c>
      <c r="HF214" s="168">
        <v>-3666000</v>
      </c>
      <c r="HG214" s="21"/>
      <c r="HH214" s="21"/>
      <c r="HI214" s="168">
        <v>2348000</v>
      </c>
      <c r="HJ214" s="168">
        <v>2548000</v>
      </c>
      <c r="HK214" s="21"/>
      <c r="HL214" s="21"/>
      <c r="HM214" s="21"/>
      <c r="HN214" s="21"/>
      <c r="HO214" s="21"/>
      <c r="HP214" s="21"/>
      <c r="HQ214" s="21"/>
      <c r="HR214" s="21"/>
      <c r="HS214" s="21"/>
      <c r="HT214" s="21"/>
      <c r="HU214" s="21"/>
      <c r="HV214" s="21"/>
      <c r="HW214" s="21"/>
      <c r="HX214" s="21"/>
      <c r="HY214" s="21"/>
      <c r="HZ214" s="21"/>
      <c r="IA214" s="21"/>
      <c r="IB214" s="21"/>
      <c r="IC214" s="21"/>
      <c r="ID214" s="21"/>
      <c r="IE214" s="21"/>
      <c r="IF214" s="21"/>
      <c r="IG214" s="21"/>
      <c r="IH214" s="21"/>
      <c r="II214" s="21"/>
      <c r="IJ214" s="21"/>
      <c r="IK214" s="21"/>
      <c r="IL214" s="21"/>
      <c r="IM214" s="21"/>
      <c r="IN214" s="21"/>
      <c r="IO214" s="21"/>
      <c r="IP214" s="21"/>
      <c r="IQ214" s="21"/>
      <c r="IR214" s="21"/>
      <c r="IS214" s="21"/>
      <c r="IT214" s="21"/>
      <c r="IU214" s="21"/>
      <c r="IV214" s="21"/>
      <c r="IW214" s="21"/>
      <c r="IX214" s="21"/>
      <c r="IY214" s="168">
        <v>-16205000</v>
      </c>
      <c r="IZ214" s="168">
        <v>-13726000</v>
      </c>
      <c r="JA214" s="21"/>
      <c r="JB214" s="21"/>
      <c r="JC214" s="21"/>
      <c r="JD214" s="21"/>
      <c r="JE214" s="21"/>
      <c r="JF214" s="21"/>
      <c r="JG214" s="21"/>
      <c r="JH214" s="21"/>
      <c r="JI214" s="21"/>
      <c r="JJ214" s="21"/>
      <c r="JK214" s="21"/>
      <c r="JL214" s="21"/>
      <c r="JM214" s="21"/>
      <c r="JN214" s="21"/>
      <c r="JO214" s="21"/>
      <c r="JP214" s="21"/>
      <c r="JQ214" s="21"/>
      <c r="JR214" s="21"/>
      <c r="JS214" s="21"/>
      <c r="JT214" s="21"/>
      <c r="JU214" s="21"/>
      <c r="JV214" s="21"/>
      <c r="JW214" s="168">
        <v>1459874000</v>
      </c>
      <c r="JX214" s="168">
        <v>1393997000</v>
      </c>
      <c r="JY214" s="21"/>
      <c r="JZ214" s="21"/>
      <c r="KA214" s="21"/>
      <c r="KB214" s="21"/>
      <c r="KC214" s="21"/>
      <c r="KD214" s="21"/>
      <c r="KE214" s="21"/>
      <c r="KF214" s="21"/>
      <c r="KG214" s="21"/>
      <c r="KH214" s="21"/>
      <c r="KI214" s="21"/>
      <c r="KJ214" s="21"/>
      <c r="KK214" s="21"/>
      <c r="KL214" s="21"/>
      <c r="KM214" s="21"/>
      <c r="KN214" s="21"/>
      <c r="KO214" s="21"/>
      <c r="KP214" s="21"/>
      <c r="KQ214" s="168">
        <v>219817000</v>
      </c>
      <c r="KR214" s="168">
        <v>213807000</v>
      </c>
      <c r="KS214" s="21"/>
      <c r="KT214" s="21"/>
      <c r="KU214" s="21"/>
      <c r="KV214" s="21"/>
      <c r="KW214" s="21"/>
      <c r="KX214" s="21"/>
      <c r="KY214" s="21"/>
      <c r="KZ214" s="21"/>
      <c r="LA214" s="168">
        <v>8752000</v>
      </c>
      <c r="LB214" s="168">
        <v>8710000</v>
      </c>
      <c r="LC214" s="21"/>
      <c r="LD214" s="21"/>
      <c r="LE214" s="21"/>
      <c r="LF214" s="21"/>
      <c r="LG214" s="21"/>
      <c r="LH214" s="21"/>
      <c r="LI214" s="21"/>
      <c r="LJ214" s="21"/>
      <c r="LK214" s="168">
        <v>178283000</v>
      </c>
      <c r="LL214" s="168">
        <v>206246000</v>
      </c>
      <c r="LM214" s="21"/>
      <c r="LN214" s="21"/>
      <c r="LO214" s="21"/>
      <c r="LP214" s="21"/>
      <c r="LQ214" s="21"/>
      <c r="LR214" s="21"/>
      <c r="LS214" s="21"/>
      <c r="LT214" s="21"/>
      <c r="LU214" s="21"/>
      <c r="LV214" s="21"/>
      <c r="LW214" s="21"/>
      <c r="LX214" s="21"/>
      <c r="LY214" s="21"/>
      <c r="LZ214" s="21"/>
      <c r="MA214" s="21"/>
      <c r="MB214" s="21"/>
      <c r="MC214" s="168">
        <v>934108000</v>
      </c>
      <c r="MD214" s="168">
        <v>505601000</v>
      </c>
      <c r="ME214" s="21"/>
      <c r="MF214" s="21"/>
      <c r="MG214" s="168">
        <v>72773000</v>
      </c>
      <c r="MH214" s="168">
        <v>47648000</v>
      </c>
      <c r="MI214" s="168">
        <v>280975000</v>
      </c>
      <c r="MJ214" s="168">
        <v>215125000</v>
      </c>
      <c r="MK214" s="21"/>
      <c r="ML214" s="21"/>
      <c r="MM214" s="21"/>
      <c r="MN214" s="21"/>
      <c r="MO214" s="21"/>
      <c r="MP214" s="21"/>
      <c r="MQ214" s="21"/>
      <c r="MR214" s="21"/>
      <c r="MS214" s="21"/>
      <c r="MT214" s="21"/>
      <c r="MU214" s="21"/>
      <c r="MV214" s="21"/>
      <c r="MW214" s="168">
        <v>736276000</v>
      </c>
      <c r="MX214" s="168">
        <v>701267000</v>
      </c>
      <c r="MY214" s="21"/>
      <c r="MZ214" s="21"/>
      <c r="NA214" s="21"/>
      <c r="NB214" s="21"/>
      <c r="NC214" s="168">
        <v>107813000</v>
      </c>
      <c r="ND214" s="168">
        <v>93408000</v>
      </c>
      <c r="NE214" s="21"/>
      <c r="NF214" s="21"/>
      <c r="NG214" s="168">
        <v>1133816000</v>
      </c>
      <c r="NH214" s="168">
        <v>1018510000</v>
      </c>
      <c r="NI214" s="21"/>
      <c r="NJ214" s="21"/>
      <c r="NK214" s="21"/>
      <c r="NL214" s="21"/>
      <c r="NM214" s="21"/>
      <c r="NN214" s="21"/>
      <c r="NO214" s="168">
        <v>2581995000</v>
      </c>
      <c r="NP214" s="168">
        <v>2020829000</v>
      </c>
      <c r="NQ214" s="168" t="s">
        <v>1340</v>
      </c>
      <c r="NR214" s="168" t="s">
        <v>968</v>
      </c>
      <c r="NS214" s="168" t="s">
        <v>770</v>
      </c>
      <c r="NT214" s="168" t="s">
        <v>771</v>
      </c>
      <c r="NU214" s="168">
        <v>3501</v>
      </c>
      <c r="NV214" s="168" t="s">
        <v>2104</v>
      </c>
      <c r="NW214" s="168" t="s">
        <v>28</v>
      </c>
      <c r="NX214" s="168" t="s">
        <v>25</v>
      </c>
      <c r="NY214" s="169">
        <v>42825</v>
      </c>
      <c r="NZ214" s="169">
        <v>42460</v>
      </c>
      <c r="OA214" s="169">
        <v>43025</v>
      </c>
      <c r="OB214" s="168" t="s">
        <v>1476</v>
      </c>
      <c r="OC214" s="168">
        <v>12</v>
      </c>
      <c r="OD214" s="168" t="s">
        <v>2105</v>
      </c>
      <c r="OE214" s="168" t="s">
        <v>2381</v>
      </c>
      <c r="OF214" s="168" t="s">
        <v>2572</v>
      </c>
      <c r="OG214" s="168" t="s">
        <v>2040</v>
      </c>
      <c r="OH214" s="168" t="s">
        <v>834</v>
      </c>
      <c r="OI214" s="168" t="s">
        <v>766</v>
      </c>
      <c r="OJ214" s="168" t="s">
        <v>3240</v>
      </c>
      <c r="OK214" s="168" t="s">
        <v>3395</v>
      </c>
    </row>
    <row r="215" spans="1:401" x14ac:dyDescent="0.2">
      <c r="A215" s="170" t="str">
        <f>Liste[[#This Row],[Siren]]</f>
        <v>321895799</v>
      </c>
      <c r="B215" s="198" t="str">
        <f>Liste[[#This Row],[Dénomination]]&amp;" - comptes "&amp;YEAR(Liste[[#This Row],[Date de cloture de l''exercice]])</f>
        <v>LOCASYSTEM INTERNATIONAL - comptes 2017</v>
      </c>
      <c r="C215" s="21"/>
      <c r="D215" s="21"/>
      <c r="E215" s="168">
        <v>17552</v>
      </c>
      <c r="F215" s="168">
        <v>871223</v>
      </c>
      <c r="G215" s="168">
        <v>1033569</v>
      </c>
      <c r="H215" s="168">
        <v>888775</v>
      </c>
      <c r="I215" s="168">
        <v>2533945</v>
      </c>
      <c r="J215" s="168">
        <v>867202</v>
      </c>
      <c r="K215" s="168">
        <v>1122542</v>
      </c>
      <c r="L215" s="168">
        <v>3401147</v>
      </c>
      <c r="M215" s="21"/>
      <c r="N215" s="168">
        <v>156554</v>
      </c>
      <c r="O215" s="168">
        <v>151252</v>
      </c>
      <c r="P215" s="168">
        <v>156554</v>
      </c>
      <c r="Q215" s="168">
        <v>43625</v>
      </c>
      <c r="R215" s="168">
        <v>3272</v>
      </c>
      <c r="S215" s="168">
        <v>5095</v>
      </c>
      <c r="T215" s="168">
        <v>46897</v>
      </c>
      <c r="U215" s="21"/>
      <c r="V215" s="21"/>
      <c r="W215" s="21"/>
      <c r="X215" s="21"/>
      <c r="Y215" s="21"/>
      <c r="Z215" s="168">
        <v>200</v>
      </c>
      <c r="AA215" s="168">
        <v>200</v>
      </c>
      <c r="AB215" s="168">
        <v>200</v>
      </c>
      <c r="AC215" s="21"/>
      <c r="AD215" s="21"/>
      <c r="AE215" s="21"/>
      <c r="AF215" s="21"/>
      <c r="AG215" s="21"/>
      <c r="AH215" s="21"/>
      <c r="AI215" s="21"/>
      <c r="AJ215" s="21"/>
      <c r="AK215" s="21"/>
      <c r="AL215" s="168">
        <v>445103</v>
      </c>
      <c r="AM215" s="168">
        <v>32969</v>
      </c>
      <c r="AN215" s="168">
        <v>445103</v>
      </c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168">
        <v>250291</v>
      </c>
      <c r="BA215" s="168">
        <v>290972</v>
      </c>
      <c r="BB215" s="168">
        <v>250291</v>
      </c>
      <c r="BC215" s="168">
        <v>767259</v>
      </c>
      <c r="BD215" s="168">
        <v>4094229</v>
      </c>
      <c r="BE215" s="168">
        <v>4245000</v>
      </c>
      <c r="BF215" s="168">
        <v>4861488</v>
      </c>
      <c r="BG215" s="168">
        <v>818700</v>
      </c>
      <c r="BH215" s="168">
        <v>82897</v>
      </c>
      <c r="BI215" s="168">
        <v>70829</v>
      </c>
      <c r="BJ215" s="168">
        <v>901597</v>
      </c>
      <c r="BK215" s="168">
        <v>309107</v>
      </c>
      <c r="BL215" s="21"/>
      <c r="BM215" s="21"/>
      <c r="BN215" s="168">
        <v>309107</v>
      </c>
      <c r="BO215" s="21"/>
      <c r="BP215" s="21"/>
      <c r="BQ215" s="21"/>
      <c r="BR215" s="21"/>
      <c r="BS215" s="21"/>
      <c r="BT215" s="21"/>
      <c r="BU215" s="21"/>
      <c r="BV215" s="21"/>
      <c r="BW215" s="21"/>
      <c r="BX215" s="168">
        <v>2028256</v>
      </c>
      <c r="BY215" s="168">
        <v>1509521</v>
      </c>
      <c r="BZ215" s="168">
        <v>2028256</v>
      </c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168">
        <v>10006</v>
      </c>
      <c r="CN215" s="168">
        <v>9649</v>
      </c>
      <c r="CO215" s="168">
        <v>10006</v>
      </c>
      <c r="CP215" s="168">
        <v>568681</v>
      </c>
      <c r="CQ215" s="168">
        <v>293763</v>
      </c>
      <c r="CR215" s="168">
        <v>418899</v>
      </c>
      <c r="CS215" s="168">
        <v>862444</v>
      </c>
      <c r="CT215" s="21"/>
      <c r="CU215" s="21"/>
      <c r="CV215" s="21"/>
      <c r="CW215" s="21"/>
      <c r="CX215" s="21"/>
      <c r="CY215" s="21"/>
      <c r="CZ215" s="21"/>
      <c r="DA215" s="21"/>
      <c r="DB215" s="21"/>
      <c r="DC215" s="168">
        <v>25941</v>
      </c>
      <c r="DD215" s="168">
        <v>3509</v>
      </c>
      <c r="DE215" s="168">
        <v>25941</v>
      </c>
      <c r="DF215" s="168">
        <v>2444149</v>
      </c>
      <c r="DG215" s="168">
        <v>3360437</v>
      </c>
      <c r="DH215" s="168">
        <v>2505025</v>
      </c>
      <c r="DI215" s="168">
        <v>5804586</v>
      </c>
      <c r="DJ215" s="168">
        <v>372533</v>
      </c>
      <c r="DK215" s="168">
        <v>875476</v>
      </c>
      <c r="DL215" s="168">
        <v>985353</v>
      </c>
      <c r="DM215" s="168">
        <v>1248009</v>
      </c>
      <c r="DN215" s="168">
        <v>39509</v>
      </c>
      <c r="DO215" s="168">
        <v>43746</v>
      </c>
      <c r="DP215" s="168">
        <v>104691</v>
      </c>
      <c r="DQ215" s="168">
        <v>83255</v>
      </c>
      <c r="DR215" s="21"/>
      <c r="DS215" s="168">
        <v>28593</v>
      </c>
      <c r="DT215" s="168">
        <v>19425</v>
      </c>
      <c r="DU215" s="168">
        <v>28593</v>
      </c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168">
        <v>6738207</v>
      </c>
      <c r="EL215" s="168">
        <v>4818910</v>
      </c>
      <c r="EM215" s="168">
        <v>4554963</v>
      </c>
      <c r="EN215" s="168">
        <v>11557117</v>
      </c>
      <c r="EO215" s="168">
        <v>1196853</v>
      </c>
      <c r="EP215" s="168">
        <v>8836394</v>
      </c>
      <c r="EQ215" s="168">
        <v>8496261</v>
      </c>
      <c r="ER215" s="168">
        <v>10033247</v>
      </c>
      <c r="ES215" s="168">
        <v>9849266</v>
      </c>
      <c r="ET215" s="168">
        <v>14252961</v>
      </c>
      <c r="EU215" s="168">
        <v>13747367</v>
      </c>
      <c r="EV215" s="168">
        <v>24102227</v>
      </c>
      <c r="EW215" s="21"/>
      <c r="EX215" s="21"/>
      <c r="EY215" s="21"/>
      <c r="EZ215" s="21"/>
      <c r="FA215" s="21"/>
      <c r="FB215" s="21"/>
      <c r="FC215" s="21"/>
      <c r="FD215" s="21"/>
      <c r="FE215" s="21"/>
      <c r="FF215" s="168">
        <v>7993</v>
      </c>
      <c r="FG215" s="21"/>
      <c r="FH215" s="168">
        <v>7993</v>
      </c>
      <c r="FI215" s="168">
        <v>-3114</v>
      </c>
      <c r="FJ215" s="168">
        <v>-160677</v>
      </c>
      <c r="FK215" s="21"/>
      <c r="FL215" s="21"/>
      <c r="FM215" s="168">
        <v>247496</v>
      </c>
      <c r="FN215" s="168">
        <v>283361</v>
      </c>
      <c r="FO215" s="168">
        <v>54953</v>
      </c>
      <c r="FP215" s="168">
        <v>24485</v>
      </c>
      <c r="FQ215" s="168">
        <v>98479</v>
      </c>
      <c r="FR215" s="168">
        <v>98479</v>
      </c>
      <c r="FS215" s="21"/>
      <c r="FT215" s="21"/>
      <c r="FU215" s="168">
        <v>58839</v>
      </c>
      <c r="FV215" s="168">
        <v>3722</v>
      </c>
      <c r="FW215" s="168">
        <v>295488</v>
      </c>
      <c r="FX215" s="168">
        <v>285391</v>
      </c>
      <c r="FY215" s="168">
        <v>250416</v>
      </c>
      <c r="FZ215" s="168">
        <v>213855</v>
      </c>
      <c r="GA215" s="21"/>
      <c r="GB215" s="21"/>
      <c r="GC215" s="168">
        <v>165449</v>
      </c>
      <c r="GD215" s="168">
        <v>127926</v>
      </c>
      <c r="GE215" s="168">
        <v>54743</v>
      </c>
      <c r="GF215" s="168">
        <v>24243</v>
      </c>
      <c r="GG215" s="21"/>
      <c r="GH215" s="21"/>
      <c r="GI215" s="21"/>
      <c r="GJ215" s="21"/>
      <c r="GK215" s="168">
        <v>79143</v>
      </c>
      <c r="GL215" s="21"/>
      <c r="GM215" s="168">
        <v>690451</v>
      </c>
      <c r="GN215" s="168">
        <v>682626</v>
      </c>
      <c r="GO215" s="168">
        <v>788792</v>
      </c>
      <c r="GP215" s="168">
        <v>826600</v>
      </c>
      <c r="GQ215" s="168">
        <v>135</v>
      </c>
      <c r="GR215" s="168">
        <v>-45495</v>
      </c>
      <c r="GS215" s="168">
        <v>440035</v>
      </c>
      <c r="GT215" s="168">
        <v>448771</v>
      </c>
      <c r="GU215" s="168">
        <v>302449</v>
      </c>
      <c r="GV215" s="168">
        <v>312846</v>
      </c>
      <c r="GW215" s="168">
        <v>299335</v>
      </c>
      <c r="GX215" s="168">
        <v>152169</v>
      </c>
      <c r="GY215" s="168">
        <v>16330935</v>
      </c>
      <c r="GZ215" s="168">
        <v>14238208</v>
      </c>
      <c r="HA215" s="21"/>
      <c r="HB215" s="21"/>
      <c r="HC215" s="168">
        <v>3399785</v>
      </c>
      <c r="HD215" s="168">
        <v>3583947</v>
      </c>
      <c r="HE215" s="168">
        <v>10362</v>
      </c>
      <c r="HF215" s="168">
        <v>1142</v>
      </c>
      <c r="HG215" s="168">
        <v>2069</v>
      </c>
      <c r="HH215" s="168">
        <v>3404</v>
      </c>
      <c r="HI215" s="168">
        <v>6284</v>
      </c>
      <c r="HJ215" s="168">
        <v>25465</v>
      </c>
      <c r="HK215" s="168">
        <v>47819</v>
      </c>
      <c r="HL215" s="168">
        <v>44964</v>
      </c>
      <c r="HM215" s="21"/>
      <c r="HN215" s="21"/>
      <c r="HO215" s="168">
        <v>1099364</v>
      </c>
      <c r="HP215" s="168">
        <v>1168107</v>
      </c>
      <c r="HQ215" s="21"/>
      <c r="HR215" s="168">
        <v>63</v>
      </c>
      <c r="HS215" s="168">
        <v>7491</v>
      </c>
      <c r="HT215" s="168">
        <v>1</v>
      </c>
      <c r="HU215" s="168">
        <v>2145855</v>
      </c>
      <c r="HV215" s="168">
        <v>2081392</v>
      </c>
      <c r="HW215" s="168">
        <v>155136</v>
      </c>
      <c r="HX215" s="168">
        <v>108272</v>
      </c>
      <c r="HY215" s="168">
        <v>9000</v>
      </c>
      <c r="HZ215" s="21"/>
      <c r="IA215" s="168">
        <v>211461</v>
      </c>
      <c r="IB215" s="168">
        <v>199120</v>
      </c>
      <c r="IC215" s="168">
        <v>20000</v>
      </c>
      <c r="ID215" s="21"/>
      <c r="IE215" s="168">
        <v>171971</v>
      </c>
      <c r="IF215" s="168">
        <v>185397</v>
      </c>
      <c r="IG215" s="168">
        <v>264512</v>
      </c>
      <c r="IH215" s="168">
        <v>234347</v>
      </c>
      <c r="II215" s="21"/>
      <c r="IJ215" s="21"/>
      <c r="IK215" s="21"/>
      <c r="IL215" s="21"/>
      <c r="IM215" s="168">
        <v>357</v>
      </c>
      <c r="IN215" s="168">
        <v>7073</v>
      </c>
      <c r="IO215" s="21"/>
      <c r="IP215" s="21"/>
      <c r="IQ215" s="21"/>
      <c r="IR215" s="21"/>
      <c r="IS215" s="21"/>
      <c r="IT215" s="21"/>
      <c r="IU215" s="168">
        <v>1146233</v>
      </c>
      <c r="IV215" s="168">
        <v>1268946</v>
      </c>
      <c r="IW215" s="168">
        <v>1469004</v>
      </c>
      <c r="IX215" s="168">
        <v>1544921</v>
      </c>
      <c r="IY215" s="168">
        <v>-274952</v>
      </c>
      <c r="IZ215" s="168">
        <v>-231011</v>
      </c>
      <c r="JA215" s="168">
        <v>294918</v>
      </c>
      <c r="JB215" s="168">
        <v>375783</v>
      </c>
      <c r="JC215" s="21"/>
      <c r="JD215" s="21"/>
      <c r="JE215" s="168">
        <v>2599599</v>
      </c>
      <c r="JF215" s="168">
        <v>2717457</v>
      </c>
      <c r="JG215" s="21"/>
      <c r="JH215" s="21"/>
      <c r="JI215" s="168">
        <v>26358200</v>
      </c>
      <c r="JJ215" s="168">
        <v>24593494</v>
      </c>
      <c r="JK215" s="168">
        <v>284512</v>
      </c>
      <c r="JL215" s="168">
        <v>234416</v>
      </c>
      <c r="JM215" s="168">
        <v>27827204</v>
      </c>
      <c r="JN215" s="168">
        <v>26138415</v>
      </c>
      <c r="JO215" s="168">
        <v>9560</v>
      </c>
      <c r="JP215" s="168">
        <v>3405</v>
      </c>
      <c r="JQ215" s="168">
        <v>224732</v>
      </c>
      <c r="JR215" s="168">
        <v>310452</v>
      </c>
      <c r="JS215" s="21"/>
      <c r="JT215" s="21"/>
      <c r="JU215" s="21"/>
      <c r="JV215" s="21"/>
      <c r="JW215" s="168">
        <v>27525645</v>
      </c>
      <c r="JX215" s="168">
        <v>25730094</v>
      </c>
      <c r="JY215" s="21"/>
      <c r="JZ215" s="21"/>
      <c r="KA215" s="21"/>
      <c r="KB215" s="21"/>
      <c r="KC215" s="21"/>
      <c r="KD215" s="21"/>
      <c r="KE215" s="168">
        <v>8180507</v>
      </c>
      <c r="KF215" s="168">
        <v>8328642</v>
      </c>
      <c r="KG215" s="21"/>
      <c r="KH215" s="21"/>
      <c r="KI215" s="168">
        <v>19339139</v>
      </c>
      <c r="KJ215" s="168">
        <v>17401452</v>
      </c>
      <c r="KK215" s="21"/>
      <c r="KL215" s="21"/>
      <c r="KM215" s="21"/>
      <c r="KN215" s="21"/>
      <c r="KO215" s="21"/>
      <c r="KP215" s="21"/>
      <c r="KQ215" s="168">
        <v>180721</v>
      </c>
      <c r="KR215" s="168">
        <v>259435</v>
      </c>
      <c r="KS215" s="21"/>
      <c r="KT215" s="21"/>
      <c r="KU215" s="21"/>
      <c r="KV215" s="21"/>
      <c r="KW215" s="21"/>
      <c r="KX215" s="21"/>
      <c r="KY215" s="168">
        <v>75434</v>
      </c>
      <c r="KZ215" s="168">
        <v>10854</v>
      </c>
      <c r="LA215" s="168">
        <v>1080000</v>
      </c>
      <c r="LB215" s="168">
        <v>1080000</v>
      </c>
      <c r="LC215" s="21"/>
      <c r="LD215" s="21"/>
      <c r="LE215" s="21"/>
      <c r="LF215" s="21"/>
      <c r="LG215" s="21"/>
      <c r="LH215" s="21"/>
      <c r="LI215" s="168">
        <v>1693630</v>
      </c>
      <c r="LJ215" s="168">
        <v>1846852</v>
      </c>
      <c r="LK215" s="168">
        <v>2313340</v>
      </c>
      <c r="LL215" s="168">
        <v>2996521</v>
      </c>
      <c r="LM215" s="168">
        <v>3000</v>
      </c>
      <c r="LN215" s="21"/>
      <c r="LO215" s="21"/>
      <c r="LP215" s="21"/>
      <c r="LQ215" s="21"/>
      <c r="LR215" s="21"/>
      <c r="LS215" s="21"/>
      <c r="LT215" s="21"/>
      <c r="LU215" s="21"/>
      <c r="LV215" s="21"/>
      <c r="LW215" s="21"/>
      <c r="LX215" s="21"/>
      <c r="LY215" s="21"/>
      <c r="LZ215" s="21"/>
      <c r="MA215" s="168">
        <v>438283</v>
      </c>
      <c r="MB215" s="168">
        <v>176108</v>
      </c>
      <c r="MC215" s="168">
        <v>81372</v>
      </c>
      <c r="MD215" s="168">
        <v>260952</v>
      </c>
      <c r="ME215" s="21"/>
      <c r="MF215" s="21"/>
      <c r="MG215" s="168">
        <v>85464</v>
      </c>
      <c r="MH215" s="168">
        <v>96335</v>
      </c>
      <c r="MI215" s="21"/>
      <c r="MJ215" s="21"/>
      <c r="MK215" s="21"/>
      <c r="ML215" s="21"/>
      <c r="MM215" s="168">
        <v>1137207</v>
      </c>
      <c r="MN215" s="168">
        <v>1133241</v>
      </c>
      <c r="MO215" s="21"/>
      <c r="MP215" s="21"/>
      <c r="MQ215" s="168">
        <v>83168</v>
      </c>
      <c r="MR215" s="168">
        <v>104167</v>
      </c>
      <c r="MS215" s="21"/>
      <c r="MT215" s="21"/>
      <c r="MU215" s="168">
        <v>5460418</v>
      </c>
      <c r="MV215" s="168">
        <v>5457584</v>
      </c>
      <c r="MW215" s="168">
        <v>108000</v>
      </c>
      <c r="MX215" s="168">
        <v>108000</v>
      </c>
      <c r="MY215" s="21"/>
      <c r="MZ215" s="21"/>
      <c r="NA215" s="21"/>
      <c r="NB215" s="21"/>
      <c r="NC215" s="168">
        <v>410035</v>
      </c>
      <c r="ND215" s="168">
        <v>448771</v>
      </c>
      <c r="NE215" s="21"/>
      <c r="NF215" s="21"/>
      <c r="NG215" s="168">
        <v>3611981</v>
      </c>
      <c r="NH215" s="168">
        <v>3345143</v>
      </c>
      <c r="NI215" s="21"/>
      <c r="NJ215" s="21"/>
      <c r="NK215" s="21"/>
      <c r="NL215" s="21"/>
      <c r="NM215" s="168">
        <v>9210033</v>
      </c>
      <c r="NN215" s="168">
        <v>9100994</v>
      </c>
      <c r="NO215" s="168">
        <v>14252961</v>
      </c>
      <c r="NP215" s="168">
        <v>13747367</v>
      </c>
      <c r="NQ215" s="168" t="s">
        <v>1002</v>
      </c>
      <c r="NR215" s="168" t="s">
        <v>769</v>
      </c>
      <c r="NS215" s="168" t="s">
        <v>770</v>
      </c>
      <c r="NT215" s="168" t="s">
        <v>771</v>
      </c>
      <c r="NU215" s="168">
        <v>7501</v>
      </c>
      <c r="NV215" s="168" t="s">
        <v>2104</v>
      </c>
      <c r="NW215" s="168" t="s">
        <v>28</v>
      </c>
      <c r="NX215" s="168" t="s">
        <v>25</v>
      </c>
      <c r="NY215" s="169">
        <v>42825</v>
      </c>
      <c r="NZ215" s="169">
        <v>42460</v>
      </c>
      <c r="OA215" s="169">
        <v>43021</v>
      </c>
      <c r="OB215" s="168" t="s">
        <v>1477</v>
      </c>
      <c r="OC215" s="168">
        <v>12</v>
      </c>
      <c r="OD215" s="168" t="s">
        <v>2105</v>
      </c>
      <c r="OE215" s="168" t="s">
        <v>2196</v>
      </c>
      <c r="OF215" s="168" t="s">
        <v>2573</v>
      </c>
      <c r="OG215" s="168" t="s">
        <v>2041</v>
      </c>
      <c r="OH215" s="168" t="s">
        <v>765</v>
      </c>
      <c r="OI215" s="168" t="s">
        <v>766</v>
      </c>
      <c r="OJ215" s="168" t="s">
        <v>3240</v>
      </c>
      <c r="OK215" s="168" t="s">
        <v>767</v>
      </c>
    </row>
    <row r="216" spans="1:401" x14ac:dyDescent="0.2">
      <c r="A216" s="170" t="str">
        <f>Liste[[#This Row],[Siren]]</f>
        <v>790526800</v>
      </c>
      <c r="B216" s="198" t="str">
        <f>Liste[[#This Row],[Dénomination]]&amp;" - comptes "&amp;YEAR(Liste[[#This Row],[Date de cloture de l''exercice]])</f>
        <v>LOGITRADE HOLDING - comptes 2017</v>
      </c>
      <c r="C216" s="21"/>
      <c r="D216" s="21"/>
      <c r="E216" s="21"/>
      <c r="F216" s="168">
        <v>7962193</v>
      </c>
      <c r="G216" s="168">
        <v>7715409</v>
      </c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168">
        <v>3123999</v>
      </c>
      <c r="AM216" s="168">
        <v>2662685</v>
      </c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168">
        <v>32013063</v>
      </c>
      <c r="BE216" s="168">
        <v>28690979</v>
      </c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168">
        <v>9133788</v>
      </c>
      <c r="BY216" s="168">
        <v>15975022</v>
      </c>
      <c r="BZ216" s="21"/>
      <c r="CA216" s="21"/>
      <c r="CB216" s="21"/>
      <c r="CC216" s="21"/>
      <c r="CD216" s="21"/>
      <c r="CE216" s="168">
        <v>5982055</v>
      </c>
      <c r="CF216" s="168">
        <v>6355933</v>
      </c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168">
        <v>7258172</v>
      </c>
      <c r="EM216" s="168">
        <v>6837709</v>
      </c>
      <c r="EN216" s="21"/>
      <c r="EO216" s="21"/>
      <c r="EP216" s="168">
        <v>56657535</v>
      </c>
      <c r="EQ216" s="168">
        <v>60891406</v>
      </c>
      <c r="ER216" s="21"/>
      <c r="ES216" s="21"/>
      <c r="ET216" s="168">
        <v>63915707</v>
      </c>
      <c r="EU216" s="168">
        <v>67729115</v>
      </c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  <c r="FH216" s="21"/>
      <c r="FI216" s="168">
        <v>-32641</v>
      </c>
      <c r="FJ216" s="168">
        <v>-29372</v>
      </c>
      <c r="FK216" s="21"/>
      <c r="FL216" s="21"/>
      <c r="FM216" s="21"/>
      <c r="FN216" s="21"/>
      <c r="FO216" s="21"/>
      <c r="FP216" s="21"/>
      <c r="FQ216" s="168">
        <v>-373878</v>
      </c>
      <c r="FR216" s="168">
        <v>-373878</v>
      </c>
      <c r="FS216" s="21"/>
      <c r="FT216" s="21"/>
      <c r="FU216" s="21"/>
      <c r="FV216" s="21"/>
      <c r="FW216" s="168">
        <v>-509268</v>
      </c>
      <c r="FX216" s="168">
        <v>-738966</v>
      </c>
      <c r="FY216" s="21"/>
      <c r="FZ216" s="21"/>
      <c r="GA216" s="21"/>
      <c r="GB216" s="21"/>
      <c r="GC216" s="21"/>
      <c r="GD216" s="21"/>
      <c r="GE216" s="21"/>
      <c r="GF216" s="21"/>
      <c r="GG216" s="21"/>
      <c r="GH216" s="21"/>
      <c r="GI216" s="21"/>
      <c r="GJ216" s="21"/>
      <c r="GK216" s="21"/>
      <c r="GL216" s="21"/>
      <c r="GM216" s="168">
        <v>641059</v>
      </c>
      <c r="GN216" s="168">
        <v>1162395</v>
      </c>
      <c r="GO216" s="168">
        <v>1014937</v>
      </c>
      <c r="GP216" s="168">
        <v>1536273</v>
      </c>
      <c r="GQ216" s="21"/>
      <c r="GR216" s="21"/>
      <c r="GS216" s="168">
        <v>641059</v>
      </c>
      <c r="GT216" s="168">
        <v>1162395</v>
      </c>
      <c r="GU216" s="21"/>
      <c r="GV216" s="21"/>
      <c r="GW216" s="21"/>
      <c r="GX216" s="21"/>
      <c r="GY216" s="21"/>
      <c r="GZ216" s="21"/>
      <c r="HA216" s="21"/>
      <c r="HB216" s="21"/>
      <c r="HC216" s="21"/>
      <c r="HD216" s="21"/>
      <c r="HE216" s="168">
        <v>-3322152</v>
      </c>
      <c r="HF216" s="168">
        <v>-2322047</v>
      </c>
      <c r="HG216" s="21"/>
      <c r="HH216" s="21"/>
      <c r="HI216" s="168">
        <v>73223</v>
      </c>
      <c r="HJ216" s="21"/>
      <c r="HK216" s="21"/>
      <c r="HL216" s="21"/>
      <c r="HM216" s="21"/>
      <c r="HN216" s="21"/>
      <c r="HO216" s="21"/>
      <c r="HP216" s="21"/>
      <c r="HQ216" s="21"/>
      <c r="HR216" s="21"/>
      <c r="HS216" s="21"/>
      <c r="HT216" s="21"/>
      <c r="HU216" s="21"/>
      <c r="HV216" s="21"/>
      <c r="HW216" s="21"/>
      <c r="HX216" s="21"/>
      <c r="HY216" s="21"/>
      <c r="HZ216" s="21"/>
      <c r="IA216" s="21"/>
      <c r="IB216" s="21"/>
      <c r="IC216" s="21"/>
      <c r="ID216" s="21"/>
      <c r="IE216" s="168">
        <v>-269204</v>
      </c>
      <c r="IF216" s="168">
        <v>-296128</v>
      </c>
      <c r="IG216" s="21"/>
      <c r="IH216" s="21"/>
      <c r="II216" s="21"/>
      <c r="IJ216" s="21"/>
      <c r="IK216" s="21"/>
      <c r="IL216" s="21"/>
      <c r="IM216" s="21"/>
      <c r="IN216" s="21"/>
      <c r="IO216" s="21"/>
      <c r="IP216" s="21"/>
      <c r="IQ216" s="21"/>
      <c r="IR216" s="21"/>
      <c r="IS216" s="21"/>
      <c r="IT216" s="21"/>
      <c r="IU216" s="168">
        <v>1556846</v>
      </c>
      <c r="IV216" s="168">
        <v>2304611</v>
      </c>
      <c r="IW216" s="168">
        <v>1840162</v>
      </c>
      <c r="IX216" s="168">
        <v>2694554</v>
      </c>
      <c r="IY216" s="168">
        <v>-283316</v>
      </c>
      <c r="IZ216" s="168">
        <v>-389943</v>
      </c>
      <c r="JA216" s="21"/>
      <c r="JB216" s="21"/>
      <c r="JC216" s="21"/>
      <c r="JD216" s="21"/>
      <c r="JE216" s="21"/>
      <c r="JF216" s="21"/>
      <c r="JG216" s="21"/>
      <c r="JH216" s="21"/>
      <c r="JI216" s="21"/>
      <c r="JJ216" s="21"/>
      <c r="JK216" s="21"/>
      <c r="JL216" s="21"/>
      <c r="JM216" s="21"/>
      <c r="JN216" s="21"/>
      <c r="JO216" s="21"/>
      <c r="JP216" s="21"/>
      <c r="JQ216" s="21"/>
      <c r="JR216" s="21"/>
      <c r="JS216" s="21"/>
      <c r="JT216" s="21"/>
      <c r="JU216" s="21"/>
      <c r="JV216" s="21"/>
      <c r="JW216" s="168">
        <v>162527377</v>
      </c>
      <c r="JX216" s="168">
        <v>151701597</v>
      </c>
      <c r="JY216" s="21"/>
      <c r="JZ216" s="21"/>
      <c r="KA216" s="21"/>
      <c r="KB216" s="21"/>
      <c r="KC216" s="21"/>
      <c r="KD216" s="21"/>
      <c r="KE216" s="21"/>
      <c r="KF216" s="21"/>
      <c r="KG216" s="21"/>
      <c r="KH216" s="21"/>
      <c r="KI216" s="21"/>
      <c r="KJ216" s="21"/>
      <c r="KK216" s="21"/>
      <c r="KL216" s="21"/>
      <c r="KM216" s="21"/>
      <c r="KN216" s="21"/>
      <c r="KO216" s="21"/>
      <c r="KP216" s="21"/>
      <c r="KQ216" s="168">
        <v>5394182</v>
      </c>
      <c r="KR216" s="168">
        <v>4743891</v>
      </c>
      <c r="KS216" s="21"/>
      <c r="KT216" s="21"/>
      <c r="KU216" s="21"/>
      <c r="KV216" s="21"/>
      <c r="KW216" s="21"/>
      <c r="KX216" s="21"/>
      <c r="KY216" s="21"/>
      <c r="KZ216" s="21"/>
      <c r="LA216" s="168">
        <v>3007177</v>
      </c>
      <c r="LB216" s="168">
        <v>3007177</v>
      </c>
      <c r="LC216" s="21"/>
      <c r="LD216" s="21"/>
      <c r="LE216" s="21"/>
      <c r="LF216" s="21"/>
      <c r="LG216" s="21"/>
      <c r="LH216" s="21"/>
      <c r="LI216" s="21"/>
      <c r="LJ216" s="21"/>
      <c r="LK216" s="168">
        <v>45015647</v>
      </c>
      <c r="LL216" s="168">
        <v>49170248</v>
      </c>
      <c r="LM216" s="21"/>
      <c r="LN216" s="21"/>
      <c r="LO216" s="21"/>
      <c r="LP216" s="21"/>
      <c r="LQ216" s="21"/>
      <c r="LR216" s="21"/>
      <c r="LS216" s="21"/>
      <c r="LT216" s="21"/>
      <c r="LU216" s="21"/>
      <c r="LV216" s="21"/>
      <c r="LW216" s="21"/>
      <c r="LX216" s="21"/>
      <c r="LY216" s="21"/>
      <c r="LZ216" s="21"/>
      <c r="MA216" s="21"/>
      <c r="MB216" s="21"/>
      <c r="MC216" s="168">
        <v>5420382</v>
      </c>
      <c r="MD216" s="168">
        <v>6339800</v>
      </c>
      <c r="ME216" s="21"/>
      <c r="MF216" s="21"/>
      <c r="MG216" s="21"/>
      <c r="MH216" s="21"/>
      <c r="MI216" s="168">
        <v>22690</v>
      </c>
      <c r="MJ216" s="168">
        <v>22690</v>
      </c>
      <c r="MK216" s="21"/>
      <c r="ML216" s="21"/>
      <c r="MM216" s="21"/>
      <c r="MN216" s="21"/>
      <c r="MO216" s="21"/>
      <c r="MP216" s="21"/>
      <c r="MQ216" s="21"/>
      <c r="MR216" s="21"/>
      <c r="MS216" s="21"/>
      <c r="MT216" s="21"/>
      <c r="MU216" s="21"/>
      <c r="MV216" s="21"/>
      <c r="MW216" s="21"/>
      <c r="MX216" s="21"/>
      <c r="MY216" s="21"/>
      <c r="MZ216" s="21"/>
      <c r="NA216" s="21"/>
      <c r="NB216" s="21"/>
      <c r="NC216" s="21"/>
      <c r="ND216" s="21"/>
      <c r="NE216" s="21"/>
      <c r="NF216" s="21"/>
      <c r="NG216" s="168">
        <v>7936130</v>
      </c>
      <c r="NH216" s="168">
        <v>7237856</v>
      </c>
      <c r="NI216" s="21"/>
      <c r="NJ216" s="21"/>
      <c r="NK216" s="21"/>
      <c r="NL216" s="21"/>
      <c r="NM216" s="168">
        <v>55830211</v>
      </c>
      <c r="NN216" s="168">
        <v>60253939</v>
      </c>
      <c r="NO216" s="168">
        <v>63915707</v>
      </c>
      <c r="NP216" s="168">
        <v>67729115</v>
      </c>
      <c r="NQ216" s="168" t="s">
        <v>1074</v>
      </c>
      <c r="NR216" s="168" t="s">
        <v>769</v>
      </c>
      <c r="NS216" s="168" t="s">
        <v>770</v>
      </c>
      <c r="NT216" s="168" t="s">
        <v>771</v>
      </c>
      <c r="NU216" s="168">
        <v>3405</v>
      </c>
      <c r="NV216" s="168" t="s">
        <v>2104</v>
      </c>
      <c r="NW216" s="168" t="s">
        <v>28</v>
      </c>
      <c r="NX216" s="168" t="s">
        <v>25</v>
      </c>
      <c r="NY216" s="169">
        <v>42825</v>
      </c>
      <c r="NZ216" s="169">
        <v>42460</v>
      </c>
      <c r="OA216" s="169">
        <v>43053</v>
      </c>
      <c r="OB216" s="168" t="s">
        <v>1075</v>
      </c>
      <c r="OC216" s="168">
        <v>12</v>
      </c>
      <c r="OD216" s="168" t="s">
        <v>2105</v>
      </c>
      <c r="OE216" s="168" t="s">
        <v>2270</v>
      </c>
      <c r="OF216" s="168" t="s">
        <v>2271</v>
      </c>
      <c r="OG216" s="168" t="s">
        <v>1867</v>
      </c>
      <c r="OH216" s="168" t="s">
        <v>800</v>
      </c>
      <c r="OI216" s="168" t="s">
        <v>766</v>
      </c>
      <c r="OJ216" s="168" t="s">
        <v>3240</v>
      </c>
      <c r="OK216" s="168" t="s">
        <v>767</v>
      </c>
    </row>
    <row r="217" spans="1:401" x14ac:dyDescent="0.2">
      <c r="A217" s="170" t="str">
        <f>Liste[[#This Row],[Siren]]</f>
        <v>791880461</v>
      </c>
      <c r="B217" s="198" t="str">
        <f>Liste[[#This Row],[Dénomination]]&amp;" - comptes "&amp;YEAR(Liste[[#This Row],[Date de cloture de l''exercice]])</f>
        <v>JOUFFRET ET SES ENFANTS - comptes 2017</v>
      </c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168">
        <v>5374000</v>
      </c>
      <c r="BE217" s="168">
        <v>4512000</v>
      </c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168">
        <v>284000</v>
      </c>
      <c r="BY217" s="168">
        <v>152000</v>
      </c>
      <c r="BZ217" s="21"/>
      <c r="CA217" s="21"/>
      <c r="CB217" s="21"/>
      <c r="CC217" s="21"/>
      <c r="CD217" s="21"/>
      <c r="CE217" s="168">
        <v>509000</v>
      </c>
      <c r="CF217" s="168">
        <v>678000</v>
      </c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168">
        <v>18450000</v>
      </c>
      <c r="EM217" s="168">
        <v>19310000</v>
      </c>
      <c r="EN217" s="21"/>
      <c r="EO217" s="21"/>
      <c r="EP217" s="168">
        <v>14588000</v>
      </c>
      <c r="EQ217" s="168">
        <v>14123000</v>
      </c>
      <c r="ER217" s="21"/>
      <c r="ES217" s="21"/>
      <c r="ET217" s="168">
        <v>33038000</v>
      </c>
      <c r="EU217" s="168">
        <v>33433000</v>
      </c>
      <c r="EV217" s="21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  <c r="FG217" s="21"/>
      <c r="FH217" s="21"/>
      <c r="FI217" s="21"/>
      <c r="FJ217" s="21"/>
      <c r="FK217" s="21"/>
      <c r="FL217" s="21"/>
      <c r="FM217" s="21"/>
      <c r="FN217" s="21"/>
      <c r="FO217" s="21"/>
      <c r="FP217" s="21"/>
      <c r="FQ217" s="168">
        <v>-170000</v>
      </c>
      <c r="FR217" s="168">
        <v>-170000</v>
      </c>
      <c r="FS217" s="21"/>
      <c r="FT217" s="21"/>
      <c r="FU217" s="21"/>
      <c r="FV217" s="21"/>
      <c r="FW217" s="168">
        <v>470000</v>
      </c>
      <c r="FX217" s="168">
        <v>272000</v>
      </c>
      <c r="FY217" s="168">
        <v>-1000</v>
      </c>
      <c r="FZ217" s="21"/>
      <c r="GA217" s="21"/>
      <c r="GB217" s="21"/>
      <c r="GC217" s="21"/>
      <c r="GD217" s="21"/>
      <c r="GE217" s="21"/>
      <c r="GF217" s="21"/>
      <c r="GG217" s="21"/>
      <c r="GH217" s="21"/>
      <c r="GI217" s="21"/>
      <c r="GJ217" s="21"/>
      <c r="GK217" s="21"/>
      <c r="GL217" s="21"/>
      <c r="GM217" s="21"/>
      <c r="GN217" s="21"/>
      <c r="GO217" s="168">
        <v>984000</v>
      </c>
      <c r="GP217" s="168">
        <v>413000</v>
      </c>
      <c r="GQ217" s="21"/>
      <c r="GR217" s="21"/>
      <c r="GS217" s="168">
        <v>814000</v>
      </c>
      <c r="GT217" s="168">
        <v>243000</v>
      </c>
      <c r="GU217" s="21"/>
      <c r="GV217" s="21"/>
      <c r="GW217" s="21"/>
      <c r="GX217" s="21"/>
      <c r="GY217" s="21"/>
      <c r="GZ217" s="21"/>
      <c r="HA217" s="21"/>
      <c r="HB217" s="21"/>
      <c r="HC217" s="21"/>
      <c r="HD217" s="21"/>
      <c r="HE217" s="168">
        <v>-6888000</v>
      </c>
      <c r="HF217" s="168">
        <v>-6785000</v>
      </c>
      <c r="HG217" s="21"/>
      <c r="HH217" s="21"/>
      <c r="HI217" s="168">
        <v>313000</v>
      </c>
      <c r="HJ217" s="168">
        <v>225000</v>
      </c>
      <c r="HK217" s="21"/>
      <c r="HL217" s="21"/>
      <c r="HM217" s="21"/>
      <c r="HN217" s="21"/>
      <c r="HO217" s="21"/>
      <c r="HP217" s="21"/>
      <c r="HQ217" s="21"/>
      <c r="HR217" s="21"/>
      <c r="HS217" s="21"/>
      <c r="HT217" s="21"/>
      <c r="HU217" s="21"/>
      <c r="HV217" s="21"/>
      <c r="HW217" s="21"/>
      <c r="HX217" s="21"/>
      <c r="HY217" s="21"/>
      <c r="HZ217" s="21"/>
      <c r="IA217" s="21"/>
      <c r="IB217" s="21"/>
      <c r="IC217" s="21"/>
      <c r="ID217" s="21"/>
      <c r="IE217" s="168">
        <v>-500000</v>
      </c>
      <c r="IF217" s="168">
        <v>-478000</v>
      </c>
      <c r="IG217" s="21"/>
      <c r="IH217" s="21"/>
      <c r="II217" s="21"/>
      <c r="IJ217" s="21"/>
      <c r="IK217" s="21"/>
      <c r="IL217" s="21"/>
      <c r="IM217" s="21"/>
      <c r="IN217" s="21"/>
      <c r="IO217" s="21"/>
      <c r="IP217" s="21"/>
      <c r="IQ217" s="21"/>
      <c r="IR217" s="21"/>
      <c r="IS217" s="21"/>
      <c r="IT217" s="21"/>
      <c r="IU217" s="21"/>
      <c r="IV217" s="21"/>
      <c r="IW217" s="168">
        <v>1593000</v>
      </c>
      <c r="IX217" s="168">
        <v>792000</v>
      </c>
      <c r="IY217" s="21"/>
      <c r="IZ217" s="21"/>
      <c r="JA217" s="21"/>
      <c r="JB217" s="21"/>
      <c r="JC217" s="21"/>
      <c r="JD217" s="21"/>
      <c r="JE217" s="168">
        <v>-7092000</v>
      </c>
      <c r="JF217" s="168">
        <v>-7138000</v>
      </c>
      <c r="JG217" s="21"/>
      <c r="JH217" s="21"/>
      <c r="JI217" s="21"/>
      <c r="JJ217" s="21"/>
      <c r="JK217" s="21"/>
      <c r="JL217" s="21"/>
      <c r="JM217" s="21"/>
      <c r="JN217" s="21"/>
      <c r="JO217" s="21"/>
      <c r="JP217" s="21"/>
      <c r="JQ217" s="21"/>
      <c r="JR217" s="21"/>
      <c r="JS217" s="21"/>
      <c r="JT217" s="21"/>
      <c r="JU217" s="21"/>
      <c r="JV217" s="21"/>
      <c r="JW217" s="168">
        <v>51195000</v>
      </c>
      <c r="JX217" s="168">
        <v>48452000</v>
      </c>
      <c r="JY217" s="21"/>
      <c r="JZ217" s="21"/>
      <c r="KA217" s="21"/>
      <c r="KB217" s="21"/>
      <c r="KC217" s="21"/>
      <c r="KD217" s="21"/>
      <c r="KE217" s="21"/>
      <c r="KF217" s="21"/>
      <c r="KG217" s="21"/>
      <c r="KH217" s="21"/>
      <c r="KI217" s="21"/>
      <c r="KJ217" s="21"/>
      <c r="KK217" s="21"/>
      <c r="KL217" s="21"/>
      <c r="KM217" s="21"/>
      <c r="KN217" s="21"/>
      <c r="KO217" s="21"/>
      <c r="KP217" s="21"/>
      <c r="KQ217" s="21"/>
      <c r="KR217" s="21"/>
      <c r="KS217" s="21"/>
      <c r="KT217" s="21"/>
      <c r="KU217" s="21"/>
      <c r="KV217" s="21"/>
      <c r="KW217" s="21"/>
      <c r="KX217" s="21"/>
      <c r="KY217" s="21"/>
      <c r="KZ217" s="21"/>
      <c r="LA217" s="168">
        <v>5031000</v>
      </c>
      <c r="LB217" s="168">
        <v>5031000</v>
      </c>
      <c r="LC217" s="21"/>
      <c r="LD217" s="21"/>
      <c r="LE217" s="21"/>
      <c r="LF217" s="21"/>
      <c r="LG217" s="21"/>
      <c r="LH217" s="21"/>
      <c r="LI217" s="21"/>
      <c r="LJ217" s="21"/>
      <c r="LK217" s="168">
        <v>9948000</v>
      </c>
      <c r="LL217" s="168">
        <v>9429000</v>
      </c>
      <c r="LM217" s="21"/>
      <c r="LN217" s="21"/>
      <c r="LO217" s="21"/>
      <c r="LP217" s="21"/>
      <c r="LQ217" s="21"/>
      <c r="LR217" s="21"/>
      <c r="LS217" s="21"/>
      <c r="LT217" s="21"/>
      <c r="LU217" s="21"/>
      <c r="LV217" s="21"/>
      <c r="LW217" s="21"/>
      <c r="LX217" s="21"/>
      <c r="LY217" s="21"/>
      <c r="LZ217" s="21"/>
      <c r="MA217" s="21"/>
      <c r="MB217" s="21"/>
      <c r="MC217" s="168">
        <v>14852000</v>
      </c>
      <c r="MD217" s="168">
        <v>16838000</v>
      </c>
      <c r="ME217" s="21"/>
      <c r="MF217" s="21"/>
      <c r="MG217" s="21"/>
      <c r="MH217" s="21"/>
      <c r="MI217" s="21"/>
      <c r="MJ217" s="21"/>
      <c r="MK217" s="21"/>
      <c r="ML217" s="21"/>
      <c r="MM217" s="21"/>
      <c r="MN217" s="21"/>
      <c r="MO217" s="21"/>
      <c r="MP217" s="21"/>
      <c r="MQ217" s="21"/>
      <c r="MR217" s="21"/>
      <c r="MS217" s="21"/>
      <c r="MT217" s="21"/>
      <c r="MU217" s="21"/>
      <c r="MV217" s="21"/>
      <c r="MW217" s="21"/>
      <c r="MX217" s="21"/>
      <c r="MY217" s="21"/>
      <c r="MZ217" s="21"/>
      <c r="NA217" s="21"/>
      <c r="NB217" s="21"/>
      <c r="NC217" s="168">
        <v>814000</v>
      </c>
      <c r="ND217" s="168">
        <v>243000</v>
      </c>
      <c r="NE217" s="21"/>
      <c r="NF217" s="21"/>
      <c r="NG217" s="168">
        <v>6297000</v>
      </c>
      <c r="NH217" s="168">
        <v>5714000</v>
      </c>
      <c r="NI217" s="21"/>
      <c r="NJ217" s="21"/>
      <c r="NK217" s="168">
        <v>3000</v>
      </c>
      <c r="NL217" s="168">
        <v>2000</v>
      </c>
      <c r="NM217" s="168">
        <v>26736000</v>
      </c>
      <c r="NN217" s="168">
        <v>27714000</v>
      </c>
      <c r="NO217" s="168">
        <v>33038000</v>
      </c>
      <c r="NP217" s="168">
        <v>33433000</v>
      </c>
      <c r="NQ217" s="168" t="s">
        <v>1076</v>
      </c>
      <c r="NR217" s="168" t="s">
        <v>769</v>
      </c>
      <c r="NS217" s="168" t="s">
        <v>770</v>
      </c>
      <c r="NT217" s="168" t="s">
        <v>771</v>
      </c>
      <c r="NU217" s="168">
        <v>8401</v>
      </c>
      <c r="NV217" s="168" t="s">
        <v>2104</v>
      </c>
      <c r="NW217" s="168" t="s">
        <v>28</v>
      </c>
      <c r="NX217" s="168" t="s">
        <v>25</v>
      </c>
      <c r="NY217" s="169">
        <v>42825</v>
      </c>
      <c r="NZ217" s="169">
        <v>42460</v>
      </c>
      <c r="OA217" s="169">
        <v>43016</v>
      </c>
      <c r="OB217" s="168" t="s">
        <v>1077</v>
      </c>
      <c r="OC217" s="168">
        <v>12</v>
      </c>
      <c r="OD217" s="168" t="s">
        <v>2105</v>
      </c>
      <c r="OE217" s="168" t="s">
        <v>2273</v>
      </c>
      <c r="OF217" s="168" t="s">
        <v>2274</v>
      </c>
      <c r="OG217" s="168" t="s">
        <v>1868</v>
      </c>
      <c r="OH217" s="168" t="s">
        <v>807</v>
      </c>
      <c r="OI217" s="168" t="s">
        <v>766</v>
      </c>
      <c r="OJ217" s="168" t="s">
        <v>3240</v>
      </c>
      <c r="OK217" s="168" t="s">
        <v>767</v>
      </c>
    </row>
    <row r="218" spans="1:401" x14ac:dyDescent="0.2">
      <c r="A218" s="170" t="str">
        <f>Liste[[#This Row],[Siren]]</f>
        <v>791429251</v>
      </c>
      <c r="B218" s="198" t="str">
        <f>Liste[[#This Row],[Dénomination]]&amp;" - comptes "&amp;YEAR(Liste[[#This Row],[Date de cloture de l''exercice]])</f>
        <v>FINANCIERE AVJ - comptes 2017</v>
      </c>
      <c r="C218" s="21"/>
      <c r="D218" s="21"/>
      <c r="E218" s="21"/>
      <c r="F218" s="168">
        <v>2263597</v>
      </c>
      <c r="G218" s="168">
        <v>870181</v>
      </c>
      <c r="H218" s="168">
        <v>2263596</v>
      </c>
      <c r="I218" s="168">
        <v>3700763</v>
      </c>
      <c r="J218" s="168">
        <v>788551</v>
      </c>
      <c r="K218" s="168">
        <v>430872</v>
      </c>
      <c r="L218" s="168">
        <v>4489314</v>
      </c>
      <c r="M218" s="21"/>
      <c r="N218" s="168">
        <v>113378</v>
      </c>
      <c r="O218" s="168">
        <v>113378</v>
      </c>
      <c r="P218" s="168">
        <v>113378</v>
      </c>
      <c r="Q218" s="21"/>
      <c r="R218" s="21"/>
      <c r="S218" s="21"/>
      <c r="T218" s="21"/>
      <c r="U218" s="21"/>
      <c r="V218" s="21"/>
      <c r="W218" s="21"/>
      <c r="X218" s="21"/>
      <c r="Y218" s="21"/>
      <c r="Z218" s="168">
        <v>1153767</v>
      </c>
      <c r="AA218" s="168">
        <v>1158518</v>
      </c>
      <c r="AB218" s="168">
        <v>1153767</v>
      </c>
      <c r="AC218" s="21"/>
      <c r="AD218" s="21"/>
      <c r="AE218" s="168">
        <v>58360</v>
      </c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168">
        <v>153688</v>
      </c>
      <c r="BA218" s="168">
        <v>143789</v>
      </c>
      <c r="BB218" s="168">
        <v>153688</v>
      </c>
      <c r="BC218" s="168">
        <v>10913</v>
      </c>
      <c r="BD218" s="168">
        <v>246120</v>
      </c>
      <c r="BE218" s="168">
        <v>556743</v>
      </c>
      <c r="BF218" s="168">
        <v>257033</v>
      </c>
      <c r="BG218" s="168">
        <v>62821</v>
      </c>
      <c r="BH218" s="21"/>
      <c r="BI218" s="21"/>
      <c r="BJ218" s="168">
        <v>62821</v>
      </c>
      <c r="BK218" s="168">
        <v>2149843</v>
      </c>
      <c r="BL218" s="168">
        <v>9590579</v>
      </c>
      <c r="BM218" s="168">
        <v>5374520</v>
      </c>
      <c r="BN218" s="168">
        <v>11740422</v>
      </c>
      <c r="BO218" s="21"/>
      <c r="BP218" s="21"/>
      <c r="BQ218" s="21"/>
      <c r="BR218" s="21"/>
      <c r="BS218" s="21"/>
      <c r="BT218" s="21"/>
      <c r="BU218" s="21"/>
      <c r="BV218" s="21"/>
      <c r="BW218" s="21"/>
      <c r="BX218" s="168">
        <v>214241</v>
      </c>
      <c r="BY218" s="168">
        <v>287875</v>
      </c>
      <c r="BZ218" s="168">
        <v>214241</v>
      </c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168">
        <v>10237857</v>
      </c>
      <c r="CR218" s="168">
        <v>10237857</v>
      </c>
      <c r="CS218" s="168">
        <v>10237857</v>
      </c>
      <c r="CT218" s="21"/>
      <c r="CU218" s="21"/>
      <c r="CV218" s="21"/>
      <c r="CW218" s="21"/>
      <c r="CX218" s="168">
        <v>10148</v>
      </c>
      <c r="CY218" s="21"/>
      <c r="CZ218" s="21"/>
      <c r="DA218" s="168">
        <v>10148</v>
      </c>
      <c r="DB218" s="21"/>
      <c r="DC218" s="21"/>
      <c r="DD218" s="168">
        <v>176169</v>
      </c>
      <c r="DE218" s="21"/>
      <c r="DF218" s="168">
        <v>560073</v>
      </c>
      <c r="DG218" s="168">
        <v>141708</v>
      </c>
      <c r="DH218" s="168">
        <v>165813</v>
      </c>
      <c r="DI218" s="168">
        <v>701781</v>
      </c>
      <c r="DJ218" s="168">
        <v>7484</v>
      </c>
      <c r="DK218" s="168">
        <v>2817521</v>
      </c>
      <c r="DL218" s="168">
        <v>1999144</v>
      </c>
      <c r="DM218" s="168">
        <v>2825005</v>
      </c>
      <c r="DN218" s="21"/>
      <c r="DO218" s="168">
        <v>7748</v>
      </c>
      <c r="DP218" s="168">
        <v>5714</v>
      </c>
      <c r="DQ218" s="168">
        <v>7748</v>
      </c>
      <c r="DR218" s="21"/>
      <c r="DS218" s="21"/>
      <c r="DT218" s="21"/>
      <c r="DU218" s="21"/>
      <c r="DV218" s="21"/>
      <c r="DW218" s="168">
        <v>16753</v>
      </c>
      <c r="DX218" s="168">
        <v>29355</v>
      </c>
      <c r="DY218" s="168">
        <v>16753</v>
      </c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168">
        <v>6518261</v>
      </c>
      <c r="EL218" s="168">
        <v>27789611</v>
      </c>
      <c r="EM218" s="168">
        <v>22891039</v>
      </c>
      <c r="EN218" s="168">
        <v>34307872</v>
      </c>
      <c r="EO218" s="168">
        <v>18397</v>
      </c>
      <c r="EP218" s="168">
        <v>6235622</v>
      </c>
      <c r="EQ218" s="168">
        <v>4285161</v>
      </c>
      <c r="ER218" s="168">
        <v>6254019</v>
      </c>
      <c r="ES218" s="168">
        <v>6536658</v>
      </c>
      <c r="ET218" s="168">
        <v>34025233</v>
      </c>
      <c r="EU218" s="168">
        <v>27176200</v>
      </c>
      <c r="EV218" s="168">
        <v>40561891</v>
      </c>
      <c r="EW218" s="168">
        <v>34613</v>
      </c>
      <c r="EX218" s="168">
        <v>5747018</v>
      </c>
      <c r="EY218" s="168">
        <v>5146197</v>
      </c>
      <c r="EZ218" s="168">
        <v>5781631</v>
      </c>
      <c r="FA218" s="21"/>
      <c r="FB218" s="21"/>
      <c r="FC218" s="21"/>
      <c r="FD218" s="21"/>
      <c r="FE218" s="21"/>
      <c r="FF218" s="21"/>
      <c r="FG218" s="21"/>
      <c r="FH218" s="21"/>
      <c r="FI218" s="168">
        <v>38366</v>
      </c>
      <c r="FJ218" s="168">
        <v>-30390</v>
      </c>
      <c r="FK218" s="21"/>
      <c r="FL218" s="21"/>
      <c r="FM218" s="168">
        <v>2802</v>
      </c>
      <c r="FN218" s="168">
        <v>9313</v>
      </c>
      <c r="FO218" s="168">
        <v>9650</v>
      </c>
      <c r="FP218" s="168">
        <v>39322</v>
      </c>
      <c r="FQ218" s="21"/>
      <c r="FR218" s="21"/>
      <c r="FS218" s="168">
        <v>34000</v>
      </c>
      <c r="FT218" s="168">
        <v>160213</v>
      </c>
      <c r="FU218" s="168">
        <v>-98364</v>
      </c>
      <c r="FV218" s="168">
        <v>-101365</v>
      </c>
      <c r="FW218" s="168">
        <v>670446</v>
      </c>
      <c r="FX218" s="168">
        <v>698769</v>
      </c>
      <c r="FY218" s="168">
        <v>536</v>
      </c>
      <c r="FZ218" s="168">
        <v>9755</v>
      </c>
      <c r="GA218" s="21"/>
      <c r="GB218" s="21"/>
      <c r="GC218" s="168">
        <v>12675</v>
      </c>
      <c r="GD218" s="168">
        <v>178458</v>
      </c>
      <c r="GE218" s="168">
        <v>42143</v>
      </c>
      <c r="GF218" s="21"/>
      <c r="GG218" s="21"/>
      <c r="GH218" s="21"/>
      <c r="GI218" s="21"/>
      <c r="GJ218" s="21"/>
      <c r="GK218" s="168">
        <v>30000</v>
      </c>
      <c r="GL218" s="21"/>
      <c r="GM218" s="168">
        <v>1294192</v>
      </c>
      <c r="GN218" s="168">
        <v>1152607</v>
      </c>
      <c r="GO218" s="168">
        <v>1294192</v>
      </c>
      <c r="GP218" s="168">
        <v>1152607</v>
      </c>
      <c r="GQ218" s="21"/>
      <c r="GR218" s="21"/>
      <c r="GS218" s="168">
        <v>1293656</v>
      </c>
      <c r="GT218" s="168">
        <v>1142852</v>
      </c>
      <c r="GU218" s="168">
        <v>46452</v>
      </c>
      <c r="GV218" s="168">
        <v>208848</v>
      </c>
      <c r="GW218" s="168">
        <v>84818</v>
      </c>
      <c r="GX218" s="168">
        <v>178458</v>
      </c>
      <c r="GY218" s="168">
        <v>31722765</v>
      </c>
      <c r="GZ218" s="168">
        <v>31206205</v>
      </c>
      <c r="HA218" s="168">
        <v>10532</v>
      </c>
      <c r="HB218" s="168">
        <v>31235</v>
      </c>
      <c r="HC218" s="168">
        <v>3360895</v>
      </c>
      <c r="HD218" s="168">
        <v>3043526</v>
      </c>
      <c r="HE218" s="168">
        <v>21331</v>
      </c>
      <c r="HF218" s="168">
        <v>65332</v>
      </c>
      <c r="HG218" s="168">
        <v>15768</v>
      </c>
      <c r="HH218" s="168">
        <v>1852</v>
      </c>
      <c r="HI218" s="168">
        <v>35218</v>
      </c>
      <c r="HJ218" s="168">
        <v>41739</v>
      </c>
      <c r="HK218" s="21"/>
      <c r="HL218" s="21"/>
      <c r="HM218" s="21"/>
      <c r="HN218" s="21"/>
      <c r="HO218" s="168">
        <v>971916</v>
      </c>
      <c r="HP218" s="168">
        <v>968111</v>
      </c>
      <c r="HQ218" s="21"/>
      <c r="HR218" s="21"/>
      <c r="HS218" s="21"/>
      <c r="HT218" s="21"/>
      <c r="HU218" s="168">
        <v>722797</v>
      </c>
      <c r="HV218" s="168">
        <v>667456</v>
      </c>
      <c r="HW218" s="21"/>
      <c r="HX218" s="21"/>
      <c r="HY218" s="21"/>
      <c r="HZ218" s="21"/>
      <c r="IA218" s="168">
        <v>10742</v>
      </c>
      <c r="IB218" s="168">
        <v>1578</v>
      </c>
      <c r="IC218" s="21"/>
      <c r="ID218" s="21"/>
      <c r="IE218" s="168">
        <v>602077</v>
      </c>
      <c r="IF218" s="168">
        <v>593180</v>
      </c>
      <c r="IG218" s="168">
        <v>493601</v>
      </c>
      <c r="IH218" s="168">
        <v>476865</v>
      </c>
      <c r="II218" s="21"/>
      <c r="IJ218" s="21"/>
      <c r="IK218" s="21"/>
      <c r="IL218" s="21"/>
      <c r="IM218" s="21"/>
      <c r="IN218" s="21"/>
      <c r="IO218" s="168">
        <v>1395</v>
      </c>
      <c r="IP218" s="168">
        <v>839</v>
      </c>
      <c r="IQ218" s="21"/>
      <c r="IR218" s="21"/>
      <c r="IS218" s="21"/>
      <c r="IT218" s="21"/>
      <c r="IU218" s="168">
        <v>1827908</v>
      </c>
      <c r="IV218" s="168">
        <v>1780401</v>
      </c>
      <c r="IW218" s="168">
        <v>2304346</v>
      </c>
      <c r="IX218" s="168">
        <v>2254575</v>
      </c>
      <c r="IY218" s="168">
        <v>-476438</v>
      </c>
      <c r="IZ218" s="168">
        <v>-474174</v>
      </c>
      <c r="JA218" s="168">
        <v>174766</v>
      </c>
      <c r="JB218" s="168">
        <v>43365</v>
      </c>
      <c r="JC218" s="21"/>
      <c r="JD218" s="21"/>
      <c r="JE218" s="168">
        <v>3394733</v>
      </c>
      <c r="JF218" s="168">
        <v>3258125</v>
      </c>
      <c r="JG218" s="21"/>
      <c r="JH218" s="21"/>
      <c r="JI218" s="168">
        <v>39989894</v>
      </c>
      <c r="JJ218" s="168">
        <v>39880570</v>
      </c>
      <c r="JK218" s="168">
        <v>493601</v>
      </c>
      <c r="JL218" s="168">
        <v>476865</v>
      </c>
      <c r="JM218" s="168">
        <v>209984</v>
      </c>
      <c r="JN218" s="168">
        <v>85104</v>
      </c>
      <c r="JO218" s="168">
        <v>17163</v>
      </c>
      <c r="JP218" s="168">
        <v>2691</v>
      </c>
      <c r="JQ218" s="168">
        <v>-825860</v>
      </c>
      <c r="JR218" s="168">
        <v>41876</v>
      </c>
      <c r="JS218" s="168">
        <v>-2034</v>
      </c>
      <c r="JT218" s="168">
        <v>3946</v>
      </c>
      <c r="JU218" s="21"/>
      <c r="JV218" s="21"/>
      <c r="JW218" s="168">
        <v>42084256</v>
      </c>
      <c r="JX218" s="168">
        <v>42050041</v>
      </c>
      <c r="JY218" s="21"/>
      <c r="JZ218" s="21"/>
      <c r="KA218" s="21"/>
      <c r="KB218" s="21"/>
      <c r="KC218" s="21"/>
      <c r="KD218" s="21"/>
      <c r="KE218" s="168">
        <v>1496733</v>
      </c>
      <c r="KF218" s="168">
        <v>1379282</v>
      </c>
      <c r="KG218" s="21"/>
      <c r="KH218" s="21"/>
      <c r="KI218" s="168">
        <v>40587523</v>
      </c>
      <c r="KJ218" s="168">
        <v>40670759</v>
      </c>
      <c r="KK218" s="21"/>
      <c r="KL218" s="21"/>
      <c r="KM218" s="21"/>
      <c r="KN218" s="21"/>
      <c r="KO218" s="21"/>
      <c r="KP218" s="21"/>
      <c r="KQ218" s="21"/>
      <c r="KR218" s="21"/>
      <c r="KS218" s="21"/>
      <c r="KT218" s="21"/>
      <c r="KU218" s="168">
        <v>2207620</v>
      </c>
      <c r="KV218" s="168">
        <v>1504257</v>
      </c>
      <c r="KW218" s="21"/>
      <c r="KX218" s="21"/>
      <c r="KY218" s="21"/>
      <c r="KZ218" s="21"/>
      <c r="LA218" s="168">
        <v>40000</v>
      </c>
      <c r="LB218" s="168">
        <v>40000</v>
      </c>
      <c r="LC218" s="21"/>
      <c r="LD218" s="21"/>
      <c r="LE218" s="168">
        <v>536</v>
      </c>
      <c r="LF218" s="168">
        <v>9755</v>
      </c>
      <c r="LG218" s="21"/>
      <c r="LH218" s="21"/>
      <c r="LI218" s="168">
        <v>32300</v>
      </c>
      <c r="LJ218" s="21"/>
      <c r="LK218" s="168">
        <v>1733738</v>
      </c>
      <c r="LL218" s="168">
        <v>1778065</v>
      </c>
      <c r="LM218" s="168">
        <v>543985</v>
      </c>
      <c r="LN218" s="168">
        <v>918639</v>
      </c>
      <c r="LO218" s="21"/>
      <c r="LP218" s="21"/>
      <c r="LQ218" s="21"/>
      <c r="LR218" s="21"/>
      <c r="LS218" s="21"/>
      <c r="LT218" s="21"/>
      <c r="LU218" s="21"/>
      <c r="LV218" s="21"/>
      <c r="LW218" s="21"/>
      <c r="LX218" s="21"/>
      <c r="LY218" s="168">
        <v>1871</v>
      </c>
      <c r="LZ218" s="168">
        <v>1871</v>
      </c>
      <c r="MA218" s="168">
        <v>18933533</v>
      </c>
      <c r="MB218" s="168">
        <v>16155039</v>
      </c>
      <c r="MC218" s="168">
        <v>83274</v>
      </c>
      <c r="MD218" s="168">
        <v>67503</v>
      </c>
      <c r="ME218" s="21"/>
      <c r="MF218" s="21"/>
      <c r="MG218" s="168">
        <v>2838670</v>
      </c>
      <c r="MH218" s="168">
        <v>2826041</v>
      </c>
      <c r="MI218" s="21"/>
      <c r="MJ218" s="21"/>
      <c r="MK218" s="21"/>
      <c r="ML218" s="21"/>
      <c r="MM218" s="21"/>
      <c r="MN218" s="21"/>
      <c r="MO218" s="168">
        <v>160213</v>
      </c>
      <c r="MP218" s="168">
        <v>160213</v>
      </c>
      <c r="MQ218" s="168">
        <v>34000</v>
      </c>
      <c r="MR218" s="168">
        <v>30000</v>
      </c>
      <c r="MS218" s="21"/>
      <c r="MT218" s="21"/>
      <c r="MU218" s="21"/>
      <c r="MV218" s="21"/>
      <c r="MW218" s="168">
        <v>558696</v>
      </c>
      <c r="MX218" s="168">
        <v>115772</v>
      </c>
      <c r="MY218" s="21"/>
      <c r="MZ218" s="21"/>
      <c r="NA218" s="21"/>
      <c r="NB218" s="21"/>
      <c r="NC218" s="168">
        <v>1293656</v>
      </c>
      <c r="ND218" s="168">
        <v>1142851</v>
      </c>
      <c r="NE218" s="21"/>
      <c r="NF218" s="21"/>
      <c r="NG218" s="168">
        <v>4099972</v>
      </c>
      <c r="NH218" s="168">
        <v>2802881</v>
      </c>
      <c r="NI218" s="21"/>
      <c r="NJ218" s="21"/>
      <c r="NK218" s="168">
        <v>1335</v>
      </c>
      <c r="NL218" s="168">
        <v>38969</v>
      </c>
      <c r="NM218" s="168">
        <v>26889172</v>
      </c>
      <c r="NN218" s="168">
        <v>21316225</v>
      </c>
      <c r="NO218" s="168">
        <v>34025233</v>
      </c>
      <c r="NP218" s="168">
        <v>27176200</v>
      </c>
      <c r="NQ218" s="168" t="s">
        <v>1079</v>
      </c>
      <c r="NR218" s="168" t="s">
        <v>769</v>
      </c>
      <c r="NS218" s="168" t="s">
        <v>770</v>
      </c>
      <c r="NT218" s="168" t="s">
        <v>771</v>
      </c>
      <c r="NU218" s="168">
        <v>7802</v>
      </c>
      <c r="NV218" s="168" t="s">
        <v>2104</v>
      </c>
      <c r="NW218" s="168" t="s">
        <v>28</v>
      </c>
      <c r="NX218" s="168" t="s">
        <v>25</v>
      </c>
      <c r="NY218" s="169">
        <v>42825</v>
      </c>
      <c r="NZ218" s="169">
        <v>42460</v>
      </c>
      <c r="OA218" s="169">
        <v>43046</v>
      </c>
      <c r="OB218" s="168" t="s">
        <v>1080</v>
      </c>
      <c r="OC218" s="168">
        <v>12</v>
      </c>
      <c r="OD218" s="168" t="s">
        <v>2105</v>
      </c>
      <c r="OE218" s="168" t="s">
        <v>2275</v>
      </c>
      <c r="OF218" s="168" t="s">
        <v>2277</v>
      </c>
      <c r="OG218" s="168" t="s">
        <v>1869</v>
      </c>
      <c r="OH218" s="168" t="s">
        <v>843</v>
      </c>
      <c r="OI218" s="168" t="s">
        <v>766</v>
      </c>
      <c r="OJ218" s="168" t="s">
        <v>3240</v>
      </c>
      <c r="OK218" s="168" t="s">
        <v>767</v>
      </c>
    </row>
    <row r="219" spans="1:401" x14ac:dyDescent="0.2">
      <c r="A219" s="170" t="str">
        <f>Liste[[#This Row],[Siren]]</f>
        <v>349357343</v>
      </c>
      <c r="B219" s="198" t="str">
        <f>Liste[[#This Row],[Dénomination]]&amp;" - comptes "&amp;YEAR(Liste[[#This Row],[Date de cloture de l''exercice]])</f>
        <v>FIGEAC AERO - comptes 2017</v>
      </c>
      <c r="C219" s="21"/>
      <c r="D219" s="21"/>
      <c r="E219" s="21"/>
      <c r="F219" s="21"/>
      <c r="G219" s="21"/>
      <c r="H219" s="21"/>
      <c r="I219" s="21"/>
      <c r="J219" s="168">
        <v>6625000</v>
      </c>
      <c r="K219" s="168">
        <v>4443000</v>
      </c>
      <c r="L219" s="21"/>
      <c r="M219" s="21"/>
      <c r="N219" s="21"/>
      <c r="O219" s="21"/>
      <c r="P219" s="21"/>
      <c r="Q219" s="21"/>
      <c r="R219" s="168">
        <v>3377000</v>
      </c>
      <c r="S219" s="168">
        <v>2905000</v>
      </c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168">
        <v>90708000</v>
      </c>
      <c r="BE219" s="168">
        <v>60431000</v>
      </c>
      <c r="BF219" s="21"/>
      <c r="BG219" s="21"/>
      <c r="BH219" s="21"/>
      <c r="BI219" s="21"/>
      <c r="BJ219" s="21"/>
      <c r="BK219" s="21"/>
      <c r="BL219" s="168">
        <v>38383000</v>
      </c>
      <c r="BM219" s="168">
        <v>29620000</v>
      </c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168">
        <v>51681000</v>
      </c>
      <c r="CZ219" s="168">
        <v>33743000</v>
      </c>
      <c r="DA219" s="21"/>
      <c r="DB219" s="21"/>
      <c r="DC219" s="21"/>
      <c r="DD219" s="21"/>
      <c r="DE219" s="21"/>
      <c r="DF219" s="21"/>
      <c r="DG219" s="168">
        <v>135169000</v>
      </c>
      <c r="DH219" s="168">
        <v>77824000</v>
      </c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168">
        <v>242234000</v>
      </c>
      <c r="EM219" s="168">
        <v>158303000</v>
      </c>
      <c r="EN219" s="21"/>
      <c r="EO219" s="21"/>
      <c r="EP219" s="168">
        <v>388506000</v>
      </c>
      <c r="EQ219" s="168">
        <v>358158000</v>
      </c>
      <c r="ER219" s="21"/>
      <c r="ES219" s="21"/>
      <c r="ET219" s="168">
        <v>630739000</v>
      </c>
      <c r="EU219" s="168">
        <v>516461000</v>
      </c>
      <c r="EV219" s="21"/>
      <c r="EW219" s="21"/>
      <c r="EX219" s="168">
        <v>4181000</v>
      </c>
      <c r="EY219" s="168">
        <v>3744000</v>
      </c>
      <c r="EZ219" s="21"/>
      <c r="FA219" s="21"/>
      <c r="FB219" s="21"/>
      <c r="FC219" s="21"/>
      <c r="FD219" s="21"/>
      <c r="FE219" s="21"/>
      <c r="FF219" s="21"/>
      <c r="FG219" s="21"/>
      <c r="FH219" s="21"/>
      <c r="FI219" s="21"/>
      <c r="FJ219" s="21"/>
      <c r="FK219" s="21"/>
      <c r="FL219" s="21"/>
      <c r="FM219" s="21"/>
      <c r="FN219" s="21"/>
      <c r="FO219" s="21"/>
      <c r="FP219" s="21"/>
      <c r="FQ219" s="21"/>
      <c r="FR219" s="21"/>
      <c r="FS219" s="21"/>
      <c r="FT219" s="21"/>
      <c r="FU219" s="21"/>
      <c r="FV219" s="21"/>
      <c r="FW219" s="21"/>
      <c r="FX219" s="21"/>
      <c r="FY219" s="168">
        <v>-26000</v>
      </c>
      <c r="FZ219" s="168">
        <v>6000</v>
      </c>
      <c r="GA219" s="21"/>
      <c r="GB219" s="21"/>
      <c r="GC219" s="21"/>
      <c r="GD219" s="21"/>
      <c r="GE219" s="21"/>
      <c r="GF219" s="21"/>
      <c r="GG219" s="21"/>
      <c r="GH219" s="21"/>
      <c r="GI219" s="21"/>
      <c r="GJ219" s="21"/>
      <c r="GK219" s="21"/>
      <c r="GL219" s="21"/>
      <c r="GM219" s="168">
        <v>32519000</v>
      </c>
      <c r="GN219" s="168">
        <v>33266000</v>
      </c>
      <c r="GO219" s="21"/>
      <c r="GP219" s="21"/>
      <c r="GQ219" s="21"/>
      <c r="GR219" s="21"/>
      <c r="GS219" s="168">
        <v>32545000</v>
      </c>
      <c r="GT219" s="168">
        <v>33260000</v>
      </c>
      <c r="GU219" s="21"/>
      <c r="GV219" s="21"/>
      <c r="GW219" s="21"/>
      <c r="GX219" s="21"/>
      <c r="GY219" s="21"/>
      <c r="GZ219" s="21"/>
      <c r="HA219" s="21"/>
      <c r="HB219" s="21"/>
      <c r="HC219" s="168">
        <v>28365000</v>
      </c>
      <c r="HD219" s="168">
        <v>22001000</v>
      </c>
      <c r="HE219" s="21"/>
      <c r="HF219" s="21"/>
      <c r="HG219" s="21"/>
      <c r="HH219" s="21"/>
      <c r="HI219" s="168">
        <v>2909000</v>
      </c>
      <c r="HJ219" s="168">
        <v>2932000</v>
      </c>
      <c r="HK219" s="21"/>
      <c r="HL219" s="21"/>
      <c r="HM219" s="21"/>
      <c r="HN219" s="21"/>
      <c r="HO219" s="21"/>
      <c r="HP219" s="21"/>
      <c r="HQ219" s="21"/>
      <c r="HR219" s="21"/>
      <c r="HS219" s="21"/>
      <c r="HT219" s="21"/>
      <c r="HU219" s="168">
        <v>21052000</v>
      </c>
      <c r="HV219" s="168">
        <v>18863000</v>
      </c>
      <c r="HW219" s="168">
        <v>5011000</v>
      </c>
      <c r="HX219" s="168">
        <v>1798000</v>
      </c>
      <c r="HY219" s="21"/>
      <c r="HZ219" s="21"/>
      <c r="IA219" s="21"/>
      <c r="IB219" s="21"/>
      <c r="IC219" s="21"/>
      <c r="ID219" s="21"/>
      <c r="IE219" s="168">
        <v>4504000</v>
      </c>
      <c r="IF219" s="168">
        <v>3246000</v>
      </c>
      <c r="IG219" s="21"/>
      <c r="IH219" s="21"/>
      <c r="II219" s="21"/>
      <c r="IJ219" s="21"/>
      <c r="IK219" s="21"/>
      <c r="IL219" s="21"/>
      <c r="IM219" s="21"/>
      <c r="IN219" s="21"/>
      <c r="IO219" s="21"/>
      <c r="IP219" s="21"/>
      <c r="IQ219" s="21"/>
      <c r="IR219" s="21"/>
      <c r="IS219" s="21"/>
      <c r="IT219" s="21"/>
      <c r="IU219" s="21"/>
      <c r="IV219" s="21"/>
      <c r="IW219" s="21"/>
      <c r="IX219" s="21"/>
      <c r="IY219" s="168">
        <v>-4192000</v>
      </c>
      <c r="IZ219" s="168">
        <v>-3008000</v>
      </c>
      <c r="JA219" s="21"/>
      <c r="JB219" s="21"/>
      <c r="JC219" s="21"/>
      <c r="JD219" s="21"/>
      <c r="JE219" s="168">
        <v>77032000</v>
      </c>
      <c r="JF219" s="168">
        <v>60132000</v>
      </c>
      <c r="JG219" s="21"/>
      <c r="JH219" s="21"/>
      <c r="JI219" s="21"/>
      <c r="JJ219" s="21"/>
      <c r="JK219" s="168">
        <v>4385000</v>
      </c>
      <c r="JL219" s="168">
        <v>3137000</v>
      </c>
      <c r="JM219" s="168">
        <v>327641000</v>
      </c>
      <c r="JN219" s="168">
        <v>255276000</v>
      </c>
      <c r="JO219" s="168">
        <v>193000</v>
      </c>
      <c r="JP219" s="168">
        <v>129000</v>
      </c>
      <c r="JQ219" s="21"/>
      <c r="JR219" s="21"/>
      <c r="JS219" s="21"/>
      <c r="JT219" s="21"/>
      <c r="JU219" s="21"/>
      <c r="JV219" s="21"/>
      <c r="JW219" s="168">
        <v>324732000</v>
      </c>
      <c r="JX219" s="168">
        <v>252344000</v>
      </c>
      <c r="JY219" s="21"/>
      <c r="JZ219" s="21"/>
      <c r="KA219" s="21"/>
      <c r="KB219" s="21"/>
      <c r="KC219" s="21"/>
      <c r="KD219" s="21"/>
      <c r="KE219" s="21"/>
      <c r="KF219" s="21"/>
      <c r="KG219" s="21"/>
      <c r="KH219" s="21"/>
      <c r="KI219" s="21"/>
      <c r="KJ219" s="21"/>
      <c r="KK219" s="21"/>
      <c r="KL219" s="21"/>
      <c r="KM219" s="21"/>
      <c r="KN219" s="21"/>
      <c r="KO219" s="21"/>
      <c r="KP219" s="21"/>
      <c r="KQ219" s="168">
        <v>1739000</v>
      </c>
      <c r="KR219" s="168">
        <v>1742000</v>
      </c>
      <c r="KS219" s="21"/>
      <c r="KT219" s="21"/>
      <c r="KU219" s="21"/>
      <c r="KV219" s="21"/>
      <c r="KW219" s="21"/>
      <c r="KX219" s="21"/>
      <c r="KY219" s="21"/>
      <c r="KZ219" s="21"/>
      <c r="LA219" s="168">
        <v>3815000</v>
      </c>
      <c r="LB219" s="168">
        <v>3813000</v>
      </c>
      <c r="LC219" s="21"/>
      <c r="LD219" s="21"/>
      <c r="LE219" s="21"/>
      <c r="LF219" s="21"/>
      <c r="LG219" s="21"/>
      <c r="LH219" s="21"/>
      <c r="LI219" s="21"/>
      <c r="LJ219" s="21"/>
      <c r="LK219" s="21"/>
      <c r="LL219" s="21"/>
      <c r="LM219" s="21"/>
      <c r="LN219" s="21"/>
      <c r="LO219" s="21"/>
      <c r="LP219" s="21"/>
      <c r="LQ219" s="21"/>
      <c r="LR219" s="21"/>
      <c r="LS219" s="21"/>
      <c r="LT219" s="21"/>
      <c r="LU219" s="21"/>
      <c r="LV219" s="21"/>
      <c r="LW219" s="21"/>
      <c r="LX219" s="21"/>
      <c r="LY219" s="21"/>
      <c r="LZ219" s="21"/>
      <c r="MA219" s="168">
        <v>80321000</v>
      </c>
      <c r="MB219" s="168">
        <v>71795000</v>
      </c>
      <c r="MC219" s="21"/>
      <c r="MD219" s="21"/>
      <c r="ME219" s="21"/>
      <c r="MF219" s="21"/>
      <c r="MG219" s="21"/>
      <c r="MH219" s="21"/>
      <c r="MI219" s="168">
        <v>118455000</v>
      </c>
      <c r="MJ219" s="168">
        <v>118325000</v>
      </c>
      <c r="MK219" s="21"/>
      <c r="ML219" s="21"/>
      <c r="MM219" s="21"/>
      <c r="MN219" s="21"/>
      <c r="MO219" s="21"/>
      <c r="MP219" s="21"/>
      <c r="MQ219" s="21"/>
      <c r="MR219" s="21"/>
      <c r="MS219" s="21"/>
      <c r="MT219" s="21"/>
      <c r="MU219" s="21"/>
      <c r="MV219" s="21"/>
      <c r="MW219" s="21"/>
      <c r="MX219" s="21"/>
      <c r="MY219" s="21"/>
      <c r="MZ219" s="21"/>
      <c r="NA219" s="21"/>
      <c r="NB219" s="21"/>
      <c r="NC219" s="21"/>
      <c r="ND219" s="21"/>
      <c r="NE219" s="21"/>
      <c r="NF219" s="21"/>
      <c r="NG219" s="21"/>
      <c r="NH219" s="21"/>
      <c r="NI219" s="21"/>
      <c r="NJ219" s="21"/>
      <c r="NK219" s="21"/>
      <c r="NL219" s="21"/>
      <c r="NM219" s="168">
        <v>207714000</v>
      </c>
      <c r="NN219" s="168">
        <v>147425000</v>
      </c>
      <c r="NO219" s="168">
        <v>630739000</v>
      </c>
      <c r="NP219" s="168">
        <v>516461000</v>
      </c>
      <c r="NQ219" s="168" t="s">
        <v>1320</v>
      </c>
      <c r="NR219" s="168" t="s">
        <v>1321</v>
      </c>
      <c r="NS219" s="168" t="s">
        <v>770</v>
      </c>
      <c r="NT219" s="168" t="s">
        <v>771</v>
      </c>
      <c r="NU219" s="168">
        <v>4601</v>
      </c>
      <c r="NV219" s="168" t="s">
        <v>2104</v>
      </c>
      <c r="NW219" s="168" t="s">
        <v>28</v>
      </c>
      <c r="NX219" s="168" t="s">
        <v>25</v>
      </c>
      <c r="NY219" s="169">
        <v>42825</v>
      </c>
      <c r="NZ219" s="169">
        <v>42460</v>
      </c>
      <c r="OA219" s="169">
        <v>43081</v>
      </c>
      <c r="OB219" s="168" t="s">
        <v>1322</v>
      </c>
      <c r="OC219" s="168">
        <v>12</v>
      </c>
      <c r="OD219" s="168" t="s">
        <v>2105</v>
      </c>
      <c r="OE219" s="168" t="s">
        <v>2149</v>
      </c>
      <c r="OF219" s="168" t="s">
        <v>2461</v>
      </c>
      <c r="OG219" s="168" t="s">
        <v>1968</v>
      </c>
      <c r="OH219" s="168" t="s">
        <v>1078</v>
      </c>
      <c r="OI219" s="168" t="s">
        <v>766</v>
      </c>
      <c r="OJ219" s="168" t="s">
        <v>3240</v>
      </c>
      <c r="OK219" s="168" t="s">
        <v>1319</v>
      </c>
    </row>
    <row r="220" spans="1:401" x14ac:dyDescent="0.2">
      <c r="A220" s="170" t="str">
        <f>Liste[[#This Row],[Siren]]</f>
        <v>448364232</v>
      </c>
      <c r="B220" s="198" t="str">
        <f>Liste[[#This Row],[Dénomination]]&amp;" - comptes "&amp;YEAR(Liste[[#This Row],[Date de cloture de l''exercice]])</f>
        <v>Officiis Properties - comptes 2017</v>
      </c>
      <c r="C220" s="21"/>
      <c r="D220" s="21"/>
      <c r="E220" s="21"/>
      <c r="F220" s="168">
        <v>4136000</v>
      </c>
      <c r="G220" s="168">
        <v>8391000</v>
      </c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168">
        <v>446000</v>
      </c>
      <c r="BA220" s="168">
        <v>220000</v>
      </c>
      <c r="BB220" s="21"/>
      <c r="BC220" s="21"/>
      <c r="BD220" s="168">
        <v>2021000</v>
      </c>
      <c r="BE220" s="168">
        <v>1360000</v>
      </c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168">
        <v>288718000</v>
      </c>
      <c r="EM220" s="168">
        <v>264480000</v>
      </c>
      <c r="EN220" s="21"/>
      <c r="EO220" s="21"/>
      <c r="EP220" s="168">
        <v>31147000</v>
      </c>
      <c r="EQ220" s="168">
        <v>12419000</v>
      </c>
      <c r="ER220" s="21"/>
      <c r="ES220" s="21"/>
      <c r="ET220" s="168">
        <v>319865000</v>
      </c>
      <c r="EU220" s="168">
        <v>276899000</v>
      </c>
      <c r="EV220" s="21"/>
      <c r="EW220" s="21"/>
      <c r="EX220" s="21"/>
      <c r="EY220" s="21"/>
      <c r="EZ220" s="21"/>
      <c r="FA220" s="21"/>
      <c r="FB220" s="21"/>
      <c r="FC220" s="21"/>
      <c r="FD220" s="21"/>
      <c r="FE220" s="21"/>
      <c r="FF220" s="21"/>
      <c r="FG220" s="21"/>
      <c r="FH220" s="21"/>
      <c r="FI220" s="21"/>
      <c r="FJ220" s="21"/>
      <c r="FK220" s="21"/>
      <c r="FL220" s="21"/>
      <c r="FM220" s="21"/>
      <c r="FN220" s="21"/>
      <c r="FO220" s="21"/>
      <c r="FP220" s="21"/>
      <c r="FQ220" s="21"/>
      <c r="FR220" s="21"/>
      <c r="FS220" s="21"/>
      <c r="FT220" s="21"/>
      <c r="FU220" s="21"/>
      <c r="FV220" s="21"/>
      <c r="FW220" s="21"/>
      <c r="FX220" s="21"/>
      <c r="FY220" s="21"/>
      <c r="FZ220" s="21"/>
      <c r="GA220" s="21"/>
      <c r="GB220" s="21"/>
      <c r="GC220" s="21"/>
      <c r="GD220" s="21"/>
      <c r="GE220" s="21"/>
      <c r="GF220" s="21"/>
      <c r="GG220" s="21"/>
      <c r="GH220" s="21"/>
      <c r="GI220" s="21"/>
      <c r="GJ220" s="21"/>
      <c r="GK220" s="21"/>
      <c r="GL220" s="21"/>
      <c r="GM220" s="168">
        <v>21151000</v>
      </c>
      <c r="GN220" s="168">
        <v>-13741000</v>
      </c>
      <c r="GO220" s="21"/>
      <c r="GP220" s="21"/>
      <c r="GQ220" s="21"/>
      <c r="GR220" s="21"/>
      <c r="GS220" s="168">
        <v>21151000</v>
      </c>
      <c r="GT220" s="168">
        <v>-13741000</v>
      </c>
      <c r="GU220" s="21"/>
      <c r="GV220" s="21"/>
      <c r="GW220" s="21"/>
      <c r="GX220" s="21"/>
      <c r="GY220" s="21"/>
      <c r="GZ220" s="21"/>
      <c r="HA220" s="21"/>
      <c r="HB220" s="21"/>
      <c r="HC220" s="21"/>
      <c r="HD220" s="21"/>
      <c r="HE220" s="21"/>
      <c r="HF220" s="21"/>
      <c r="HG220" s="21"/>
      <c r="HH220" s="21"/>
      <c r="HI220" s="21"/>
      <c r="HJ220" s="21"/>
      <c r="HK220" s="21"/>
      <c r="HL220" s="21"/>
      <c r="HM220" s="21"/>
      <c r="HN220" s="21"/>
      <c r="HO220" s="21"/>
      <c r="HP220" s="21"/>
      <c r="HQ220" s="21"/>
      <c r="HR220" s="21"/>
      <c r="HS220" s="21"/>
      <c r="HT220" s="21"/>
      <c r="HU220" s="21"/>
      <c r="HV220" s="21"/>
      <c r="HW220" s="21"/>
      <c r="HX220" s="21"/>
      <c r="HY220" s="21"/>
      <c r="HZ220" s="21"/>
      <c r="IA220" s="21"/>
      <c r="IB220" s="21"/>
      <c r="IC220" s="21"/>
      <c r="ID220" s="21"/>
      <c r="IE220" s="21"/>
      <c r="IF220" s="21"/>
      <c r="IG220" s="168">
        <v>-18950000</v>
      </c>
      <c r="IH220" s="168">
        <v>-20382000</v>
      </c>
      <c r="II220" s="21"/>
      <c r="IJ220" s="21"/>
      <c r="IK220" s="21"/>
      <c r="IL220" s="21"/>
      <c r="IM220" s="21"/>
      <c r="IN220" s="21"/>
      <c r="IO220" s="21"/>
      <c r="IP220" s="21"/>
      <c r="IQ220" s="21"/>
      <c r="IR220" s="21"/>
      <c r="IS220" s="21"/>
      <c r="IT220" s="21"/>
      <c r="IU220" s="168">
        <v>21151000</v>
      </c>
      <c r="IV220" s="168">
        <v>-13741000</v>
      </c>
      <c r="IW220" s="21"/>
      <c r="IX220" s="21"/>
      <c r="IY220" s="21"/>
      <c r="IZ220" s="21"/>
      <c r="JA220" s="21"/>
      <c r="JB220" s="21"/>
      <c r="JC220" s="21"/>
      <c r="JD220" s="21"/>
      <c r="JE220" s="21"/>
      <c r="JF220" s="21"/>
      <c r="JG220" s="21"/>
      <c r="JH220" s="21"/>
      <c r="JI220" s="21"/>
      <c r="JJ220" s="21"/>
      <c r="JK220" s="21"/>
      <c r="JL220" s="21"/>
      <c r="JM220" s="21"/>
      <c r="JN220" s="21"/>
      <c r="JO220" s="21"/>
      <c r="JP220" s="21"/>
      <c r="JQ220" s="21"/>
      <c r="JR220" s="21"/>
      <c r="JS220" s="21"/>
      <c r="JT220" s="21"/>
      <c r="JU220" s="21"/>
      <c r="JV220" s="21"/>
      <c r="JW220" s="21"/>
      <c r="JX220" s="21"/>
      <c r="JY220" s="21"/>
      <c r="JZ220" s="21"/>
      <c r="KA220" s="21"/>
      <c r="KB220" s="21"/>
      <c r="KC220" s="21"/>
      <c r="KD220" s="21"/>
      <c r="KE220" s="21"/>
      <c r="KF220" s="21"/>
      <c r="KG220" s="21"/>
      <c r="KH220" s="21"/>
      <c r="KI220" s="21"/>
      <c r="KJ220" s="21"/>
      <c r="KK220" s="21"/>
      <c r="KL220" s="21"/>
      <c r="KM220" s="21"/>
      <c r="KN220" s="21"/>
      <c r="KO220" s="21"/>
      <c r="KP220" s="21"/>
      <c r="KQ220" s="21"/>
      <c r="KR220" s="21"/>
      <c r="KS220" s="21"/>
      <c r="KT220" s="21"/>
      <c r="KU220" s="21"/>
      <c r="KV220" s="21"/>
      <c r="KW220" s="21"/>
      <c r="KX220" s="21"/>
      <c r="KY220" s="168">
        <v>1500000</v>
      </c>
      <c r="KZ220" s="168">
        <v>517000</v>
      </c>
      <c r="LA220" s="168">
        <v>26484000</v>
      </c>
      <c r="LB220" s="168">
        <v>26450000</v>
      </c>
      <c r="LC220" s="21"/>
      <c r="LD220" s="21"/>
      <c r="LE220" s="21"/>
      <c r="LF220" s="21"/>
      <c r="LG220" s="21"/>
      <c r="LH220" s="21"/>
      <c r="LI220" s="168">
        <v>2186000</v>
      </c>
      <c r="LJ220" s="168">
        <v>2337000</v>
      </c>
      <c r="LK220" s="168">
        <v>2183000</v>
      </c>
      <c r="LL220" s="168">
        <v>1781000</v>
      </c>
      <c r="LM220" s="21"/>
      <c r="LN220" s="21"/>
      <c r="LO220" s="21"/>
      <c r="LP220" s="21"/>
      <c r="LQ220" s="21"/>
      <c r="LR220" s="21"/>
      <c r="LS220" s="21"/>
      <c r="LT220" s="21"/>
      <c r="LU220" s="21"/>
      <c r="LV220" s="21"/>
      <c r="LW220" s="21"/>
      <c r="LX220" s="21"/>
      <c r="LY220" s="21"/>
      <c r="LZ220" s="21"/>
      <c r="MA220" s="21"/>
      <c r="MB220" s="21"/>
      <c r="MC220" s="21"/>
      <c r="MD220" s="21"/>
      <c r="ME220" s="21"/>
      <c r="MF220" s="21"/>
      <c r="MG220" s="21"/>
      <c r="MH220" s="21"/>
      <c r="MI220" s="21"/>
      <c r="MJ220" s="21"/>
      <c r="MK220" s="21"/>
      <c r="ML220" s="21"/>
      <c r="MM220" s="168">
        <v>14000</v>
      </c>
      <c r="MN220" s="21"/>
      <c r="MO220" s="21"/>
      <c r="MP220" s="21"/>
      <c r="MQ220" s="21"/>
      <c r="MR220" s="21"/>
      <c r="MS220" s="21"/>
      <c r="MT220" s="21"/>
      <c r="MU220" s="21"/>
      <c r="MV220" s="21"/>
      <c r="MW220" s="21"/>
      <c r="MX220" s="21"/>
      <c r="MY220" s="21"/>
      <c r="MZ220" s="21"/>
      <c r="NA220" s="21"/>
      <c r="NB220" s="21"/>
      <c r="NC220" s="168">
        <v>21151000</v>
      </c>
      <c r="ND220" s="168">
        <v>-13741000</v>
      </c>
      <c r="NE220" s="21"/>
      <c r="NF220" s="21"/>
      <c r="NG220" s="168">
        <v>26529000</v>
      </c>
      <c r="NH220" s="168">
        <v>4259000</v>
      </c>
      <c r="NI220" s="21"/>
      <c r="NJ220" s="21"/>
      <c r="NK220" s="21"/>
      <c r="NL220" s="21"/>
      <c r="NM220" s="21"/>
      <c r="NN220" s="21"/>
      <c r="NO220" s="168">
        <v>319865000</v>
      </c>
      <c r="NP220" s="168">
        <v>276899000</v>
      </c>
      <c r="NQ220" s="168" t="s">
        <v>836</v>
      </c>
      <c r="NR220" s="168" t="s">
        <v>813</v>
      </c>
      <c r="NS220" s="168" t="s">
        <v>770</v>
      </c>
      <c r="NT220" s="168" t="s">
        <v>771</v>
      </c>
      <c r="NU220" s="168">
        <v>7501</v>
      </c>
      <c r="NV220" s="168" t="s">
        <v>2104</v>
      </c>
      <c r="NW220" s="168" t="s">
        <v>28</v>
      </c>
      <c r="NX220" s="168" t="s">
        <v>25</v>
      </c>
      <c r="NY220" s="169">
        <v>42825</v>
      </c>
      <c r="NZ220" s="169">
        <v>42460</v>
      </c>
      <c r="OA220" s="169">
        <v>42979</v>
      </c>
      <c r="OB220" s="168" t="s">
        <v>1487</v>
      </c>
      <c r="OC220" s="168">
        <v>12</v>
      </c>
      <c r="OD220" s="168" t="s">
        <v>2105</v>
      </c>
      <c r="OE220" s="168" t="s">
        <v>2583</v>
      </c>
      <c r="OF220" s="168" t="s">
        <v>2584</v>
      </c>
      <c r="OG220" s="168" t="s">
        <v>2048</v>
      </c>
      <c r="OH220" s="168" t="s">
        <v>765</v>
      </c>
      <c r="OI220" s="168" t="s">
        <v>766</v>
      </c>
      <c r="OJ220" s="168" t="s">
        <v>3240</v>
      </c>
      <c r="OK220" s="168" t="s">
        <v>812</v>
      </c>
    </row>
    <row r="221" spans="1:401" x14ac:dyDescent="0.2">
      <c r="A221" s="170" t="str">
        <f>Liste[[#This Row],[Siren]]</f>
        <v>752346817</v>
      </c>
      <c r="B221" s="198" t="str">
        <f>Liste[[#This Row],[Dénomination]]&amp;" - comptes "&amp;YEAR(Liste[[#This Row],[Date de cloture de l''exercice]])</f>
        <v>ARKADIN INTERNATIONAL - comptes 2017</v>
      </c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168">
        <v>48694</v>
      </c>
      <c r="BE221" s="168">
        <v>44910</v>
      </c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168">
        <v>59398000</v>
      </c>
      <c r="BY221" s="168">
        <v>40172000</v>
      </c>
      <c r="BZ221" s="21"/>
      <c r="CA221" s="21"/>
      <c r="CB221" s="21"/>
      <c r="CC221" s="21"/>
      <c r="CD221" s="21"/>
      <c r="CE221" s="168">
        <v>147515000</v>
      </c>
      <c r="CF221" s="168">
        <v>15724000</v>
      </c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168">
        <v>242490000</v>
      </c>
      <c r="EM221" s="168">
        <v>229147000</v>
      </c>
      <c r="EN221" s="21"/>
      <c r="EO221" s="21"/>
      <c r="EP221" s="168">
        <v>130298000</v>
      </c>
      <c r="EQ221" s="168">
        <v>110375000</v>
      </c>
      <c r="ER221" s="21"/>
      <c r="ES221" s="21"/>
      <c r="ET221" s="168">
        <v>372788000</v>
      </c>
      <c r="EU221" s="168">
        <v>339522000</v>
      </c>
      <c r="EV221" s="21"/>
      <c r="EW221" s="21"/>
      <c r="EX221" s="21"/>
      <c r="EY221" s="21"/>
      <c r="EZ221" s="21"/>
      <c r="FA221" s="21"/>
      <c r="FB221" s="21"/>
      <c r="FC221" s="21"/>
      <c r="FD221" s="21"/>
      <c r="FE221" s="21"/>
      <c r="FF221" s="21"/>
      <c r="FG221" s="21"/>
      <c r="FH221" s="21"/>
      <c r="FI221" s="21"/>
      <c r="FJ221" s="21"/>
      <c r="FK221" s="168">
        <v>42743000</v>
      </c>
      <c r="FL221" s="168">
        <v>28769000</v>
      </c>
      <c r="FM221" s="21"/>
      <c r="FN221" s="21"/>
      <c r="FO221" s="21"/>
      <c r="FP221" s="21"/>
      <c r="FQ221" s="168">
        <v>-2372000</v>
      </c>
      <c r="FR221" s="168">
        <v>-2750000</v>
      </c>
      <c r="FS221" s="21"/>
      <c r="FT221" s="21"/>
      <c r="FU221" s="21"/>
      <c r="FV221" s="21"/>
      <c r="FW221" s="168">
        <v>-15516000</v>
      </c>
      <c r="FX221" s="168">
        <v>-9087000</v>
      </c>
      <c r="FY221" s="21"/>
      <c r="FZ221" s="21"/>
      <c r="GA221" s="21"/>
      <c r="GB221" s="21"/>
      <c r="GC221" s="21"/>
      <c r="GD221" s="21"/>
      <c r="GE221" s="21"/>
      <c r="GF221" s="21"/>
      <c r="GG221" s="21"/>
      <c r="GH221" s="21"/>
      <c r="GI221" s="21"/>
      <c r="GJ221" s="21"/>
      <c r="GK221" s="21"/>
      <c r="GL221" s="21"/>
      <c r="GM221" s="168">
        <v>40178000</v>
      </c>
      <c r="GN221" s="168">
        <v>25643000</v>
      </c>
      <c r="GO221" s="21"/>
      <c r="GP221" s="21"/>
      <c r="GQ221" s="21"/>
      <c r="GR221" s="21"/>
      <c r="GS221" s="21"/>
      <c r="GT221" s="21"/>
      <c r="GU221" s="21"/>
      <c r="GV221" s="21"/>
      <c r="GW221" s="21"/>
      <c r="GX221" s="21"/>
      <c r="GY221" s="21"/>
      <c r="GZ221" s="21"/>
      <c r="HA221" s="21"/>
      <c r="HB221" s="21"/>
      <c r="HC221" s="21"/>
      <c r="HD221" s="21"/>
      <c r="HE221" s="21"/>
      <c r="HF221" s="21"/>
      <c r="HG221" s="21"/>
      <c r="HH221" s="21"/>
      <c r="HI221" s="21"/>
      <c r="HJ221" s="21"/>
      <c r="HK221" s="21"/>
      <c r="HL221" s="21"/>
      <c r="HM221" s="21"/>
      <c r="HN221" s="21"/>
      <c r="HO221" s="21"/>
      <c r="HP221" s="21"/>
      <c r="HQ221" s="21"/>
      <c r="HR221" s="21"/>
      <c r="HS221" s="21"/>
      <c r="HT221" s="21"/>
      <c r="HU221" s="21"/>
      <c r="HV221" s="21"/>
      <c r="HW221" s="21"/>
      <c r="HX221" s="21"/>
      <c r="HY221" s="21"/>
      <c r="HZ221" s="21"/>
      <c r="IA221" s="21"/>
      <c r="IB221" s="21"/>
      <c r="IC221" s="21"/>
      <c r="ID221" s="21"/>
      <c r="IE221" s="21"/>
      <c r="IF221" s="21"/>
      <c r="IG221" s="21"/>
      <c r="IH221" s="21"/>
      <c r="II221" s="21"/>
      <c r="IJ221" s="21"/>
      <c r="IK221" s="21"/>
      <c r="IL221" s="21"/>
      <c r="IM221" s="21"/>
      <c r="IN221" s="21"/>
      <c r="IO221" s="21"/>
      <c r="IP221" s="21"/>
      <c r="IQ221" s="21"/>
      <c r="IR221" s="21"/>
      <c r="IS221" s="21"/>
      <c r="IT221" s="21"/>
      <c r="IU221" s="21"/>
      <c r="IV221" s="21"/>
      <c r="IW221" s="168">
        <v>58751000</v>
      </c>
      <c r="IX221" s="168">
        <v>43196000</v>
      </c>
      <c r="IY221" s="21"/>
      <c r="IZ221" s="21"/>
      <c r="JA221" s="21"/>
      <c r="JB221" s="21"/>
      <c r="JC221" s="21"/>
      <c r="JD221" s="21"/>
      <c r="JE221" s="21"/>
      <c r="JF221" s="21"/>
      <c r="JG221" s="21"/>
      <c r="JH221" s="21"/>
      <c r="JI221" s="21"/>
      <c r="JJ221" s="21"/>
      <c r="JK221" s="21"/>
      <c r="JL221" s="21"/>
      <c r="JM221" s="21"/>
      <c r="JN221" s="21"/>
      <c r="JO221" s="21"/>
      <c r="JP221" s="21"/>
      <c r="JQ221" s="21"/>
      <c r="JR221" s="21"/>
      <c r="JS221" s="21"/>
      <c r="JT221" s="21"/>
      <c r="JU221" s="21"/>
      <c r="JV221" s="21"/>
      <c r="JW221" s="168">
        <v>284609000</v>
      </c>
      <c r="JX221" s="168">
        <v>264201000</v>
      </c>
      <c r="JY221" s="21"/>
      <c r="JZ221" s="21"/>
      <c r="KA221" s="21"/>
      <c r="KB221" s="21"/>
      <c r="KC221" s="21"/>
      <c r="KD221" s="21"/>
      <c r="KE221" s="21"/>
      <c r="KF221" s="21"/>
      <c r="KG221" s="21"/>
      <c r="KH221" s="21"/>
      <c r="KI221" s="21"/>
      <c r="KJ221" s="21"/>
      <c r="KK221" s="21"/>
      <c r="KL221" s="21"/>
      <c r="KM221" s="21"/>
      <c r="KN221" s="21"/>
      <c r="KO221" s="21"/>
      <c r="KP221" s="21"/>
      <c r="KQ221" s="168">
        <v>8435000</v>
      </c>
      <c r="KR221" s="168">
        <v>9051000</v>
      </c>
      <c r="KS221" s="21"/>
      <c r="KT221" s="21"/>
      <c r="KU221" s="21"/>
      <c r="KV221" s="21"/>
      <c r="KW221" s="21"/>
      <c r="KX221" s="21"/>
      <c r="KY221" s="21"/>
      <c r="KZ221" s="21"/>
      <c r="LA221" s="168">
        <v>117812000</v>
      </c>
      <c r="LB221" s="168">
        <v>117812000</v>
      </c>
      <c r="LC221" s="21"/>
      <c r="LD221" s="21"/>
      <c r="LE221" s="21"/>
      <c r="LF221" s="21"/>
      <c r="LG221" s="21"/>
      <c r="LH221" s="21"/>
      <c r="LI221" s="168">
        <v>25589000</v>
      </c>
      <c r="LJ221" s="168">
        <v>27681000</v>
      </c>
      <c r="LK221" s="168">
        <v>19115000</v>
      </c>
      <c r="LL221" s="168">
        <v>18963000</v>
      </c>
      <c r="LM221" s="21"/>
      <c r="LN221" s="21"/>
      <c r="LO221" s="21"/>
      <c r="LP221" s="21"/>
      <c r="LQ221" s="21"/>
      <c r="LR221" s="21"/>
      <c r="LS221" s="21"/>
      <c r="LT221" s="21"/>
      <c r="LU221" s="168">
        <v>-1542000</v>
      </c>
      <c r="LV221" s="168">
        <v>-3284000</v>
      </c>
      <c r="LW221" s="21"/>
      <c r="LX221" s="21"/>
      <c r="LY221" s="21"/>
      <c r="LZ221" s="21"/>
      <c r="MA221" s="21"/>
      <c r="MB221" s="21"/>
      <c r="MC221" s="21"/>
      <c r="MD221" s="21"/>
      <c r="ME221" s="21"/>
      <c r="MF221" s="21"/>
      <c r="MG221" s="21"/>
      <c r="MH221" s="21"/>
      <c r="MI221" s="168">
        <v>18501000</v>
      </c>
      <c r="MJ221" s="168">
        <v>18466000</v>
      </c>
      <c r="MK221" s="21"/>
      <c r="ML221" s="21"/>
      <c r="MM221" s="21"/>
      <c r="MN221" s="21"/>
      <c r="MO221" s="21"/>
      <c r="MP221" s="21"/>
      <c r="MQ221" s="21"/>
      <c r="MR221" s="21"/>
      <c r="MS221" s="21"/>
      <c r="MT221" s="21"/>
      <c r="MU221" s="21"/>
      <c r="MV221" s="21"/>
      <c r="MW221" s="21"/>
      <c r="MX221" s="21"/>
      <c r="MY221" s="21"/>
      <c r="MZ221" s="21"/>
      <c r="NA221" s="21"/>
      <c r="NB221" s="21"/>
      <c r="NC221" s="168">
        <v>40178000</v>
      </c>
      <c r="ND221" s="168">
        <v>33629000</v>
      </c>
      <c r="NE221" s="21"/>
      <c r="NF221" s="21"/>
      <c r="NG221" s="168">
        <v>250746000</v>
      </c>
      <c r="NH221" s="168">
        <v>208759000</v>
      </c>
      <c r="NI221" s="21"/>
      <c r="NJ221" s="21"/>
      <c r="NK221" s="168">
        <v>3494000</v>
      </c>
      <c r="NL221" s="168">
        <v>1176000</v>
      </c>
      <c r="NM221" s="168">
        <v>118548000</v>
      </c>
      <c r="NN221" s="168">
        <v>129587000</v>
      </c>
      <c r="NO221" s="168">
        <v>372788000</v>
      </c>
      <c r="NP221" s="168">
        <v>339522000</v>
      </c>
      <c r="NQ221" s="168" t="s">
        <v>899</v>
      </c>
      <c r="NR221" s="168" t="s">
        <v>769</v>
      </c>
      <c r="NS221" s="168" t="s">
        <v>770</v>
      </c>
      <c r="NT221" s="168" t="s">
        <v>771</v>
      </c>
      <c r="NU221" s="168">
        <v>7501</v>
      </c>
      <c r="NV221" s="168" t="s">
        <v>2104</v>
      </c>
      <c r="NW221" s="168" t="s">
        <v>28</v>
      </c>
      <c r="NX221" s="168" t="s">
        <v>25</v>
      </c>
      <c r="NY221" s="169">
        <v>42825</v>
      </c>
      <c r="NZ221" s="169">
        <v>42460</v>
      </c>
      <c r="OA221" s="169">
        <v>42999</v>
      </c>
      <c r="OB221" s="168" t="s">
        <v>1491</v>
      </c>
      <c r="OC221" s="168">
        <v>12</v>
      </c>
      <c r="OD221" s="168" t="s">
        <v>2113</v>
      </c>
      <c r="OE221" s="168" t="s">
        <v>2587</v>
      </c>
      <c r="OF221" s="168" t="s">
        <v>2588</v>
      </c>
      <c r="OG221" s="168" t="s">
        <v>2051</v>
      </c>
      <c r="OH221" s="168" t="s">
        <v>765</v>
      </c>
      <c r="OI221" s="168" t="s">
        <v>766</v>
      </c>
      <c r="OJ221" s="168" t="s">
        <v>3240</v>
      </c>
      <c r="OK221" s="168" t="s">
        <v>767</v>
      </c>
    </row>
    <row r="222" spans="1:401" x14ac:dyDescent="0.2">
      <c r="A222" s="170" t="str">
        <f>Liste[[#This Row],[Siren]]</f>
        <v>382199883</v>
      </c>
      <c r="B222" s="198" t="str">
        <f>Liste[[#This Row],[Dénomination]]&amp;" - comptes "&amp;YEAR(Liste[[#This Row],[Date de cloture de l''exercice]])</f>
        <v>GROUPE RENARD - comptes 2017</v>
      </c>
      <c r="C222" s="21"/>
      <c r="D222" s="21"/>
      <c r="E222" s="21"/>
      <c r="F222" s="168">
        <v>283108</v>
      </c>
      <c r="G222" s="168">
        <v>444809</v>
      </c>
      <c r="H222" s="168">
        <v>283108</v>
      </c>
      <c r="I222" s="168">
        <v>410649</v>
      </c>
      <c r="J222" s="168">
        <v>189692</v>
      </c>
      <c r="K222" s="168">
        <v>220350</v>
      </c>
      <c r="L222" s="168">
        <v>600341</v>
      </c>
      <c r="M222" s="168">
        <v>589</v>
      </c>
      <c r="N222" s="168">
        <v>12722</v>
      </c>
      <c r="O222" s="168">
        <v>18119</v>
      </c>
      <c r="P222" s="168">
        <v>13311</v>
      </c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168">
        <v>35448</v>
      </c>
      <c r="BD222" s="168">
        <v>2080578</v>
      </c>
      <c r="BE222" s="168">
        <v>2152284</v>
      </c>
      <c r="BF222" s="168">
        <v>2116026</v>
      </c>
      <c r="BG222" s="21"/>
      <c r="BH222" s="21"/>
      <c r="BI222" s="21"/>
      <c r="BJ222" s="21"/>
      <c r="BK222" s="168">
        <v>360181</v>
      </c>
      <c r="BL222" s="168">
        <v>200471</v>
      </c>
      <c r="BM222" s="168">
        <v>96341</v>
      </c>
      <c r="BN222" s="168">
        <v>560652</v>
      </c>
      <c r="BO222" s="21"/>
      <c r="BP222" s="21"/>
      <c r="BQ222" s="21"/>
      <c r="BR222" s="21"/>
      <c r="BS222" s="21"/>
      <c r="BT222" s="21"/>
      <c r="BU222" s="21"/>
      <c r="BV222" s="21"/>
      <c r="BW222" s="21"/>
      <c r="BX222" s="168">
        <v>2349982</v>
      </c>
      <c r="BY222" s="168">
        <v>1523789</v>
      </c>
      <c r="BZ222" s="168">
        <v>2349982</v>
      </c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168">
        <v>437381</v>
      </c>
      <c r="CQ222" s="168">
        <v>59838</v>
      </c>
      <c r="CR222" s="168">
        <v>59838</v>
      </c>
      <c r="CS222" s="168">
        <v>497219</v>
      </c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168">
        <v>3702300</v>
      </c>
      <c r="DG222" s="168">
        <v>482290</v>
      </c>
      <c r="DH222" s="168">
        <v>457010</v>
      </c>
      <c r="DI222" s="168">
        <v>4184590</v>
      </c>
      <c r="DJ222" s="21"/>
      <c r="DK222" s="21"/>
      <c r="DL222" s="21"/>
      <c r="DM222" s="21"/>
      <c r="DN222" s="168">
        <v>27408</v>
      </c>
      <c r="DO222" s="168">
        <v>383556</v>
      </c>
      <c r="DP222" s="168">
        <v>429820</v>
      </c>
      <c r="DQ222" s="168">
        <v>410964</v>
      </c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168">
        <v>2982</v>
      </c>
      <c r="ED222" s="168">
        <v>303188</v>
      </c>
      <c r="EE222" s="168">
        <v>345068</v>
      </c>
      <c r="EF222" s="168">
        <v>306170</v>
      </c>
      <c r="EG222" s="21"/>
      <c r="EH222" s="21"/>
      <c r="EI222" s="21"/>
      <c r="EJ222" s="21"/>
      <c r="EK222" s="168">
        <v>6791839</v>
      </c>
      <c r="EL222" s="168">
        <v>1010440</v>
      </c>
      <c r="EM222" s="168">
        <v>975656</v>
      </c>
      <c r="EN222" s="168">
        <v>7802279</v>
      </c>
      <c r="EO222" s="168">
        <v>65838</v>
      </c>
      <c r="EP222" s="168">
        <v>5875800</v>
      </c>
      <c r="EQ222" s="168">
        <v>5364445</v>
      </c>
      <c r="ER222" s="168">
        <v>5941638</v>
      </c>
      <c r="ES222" s="168">
        <v>6857677</v>
      </c>
      <c r="ET222" s="168">
        <v>6886240</v>
      </c>
      <c r="EU222" s="168">
        <v>6340101</v>
      </c>
      <c r="EV222" s="168">
        <v>13743917</v>
      </c>
      <c r="EW222" s="21"/>
      <c r="EX222" s="168">
        <v>26938</v>
      </c>
      <c r="EY222" s="168">
        <v>85173</v>
      </c>
      <c r="EZ222" s="168">
        <v>26938</v>
      </c>
      <c r="FA222" s="21"/>
      <c r="FB222" s="21"/>
      <c r="FC222" s="21"/>
      <c r="FD222" s="21"/>
      <c r="FE222" s="21"/>
      <c r="FF222" s="21"/>
      <c r="FG222" s="21"/>
      <c r="FH222" s="21"/>
      <c r="FI222" s="168">
        <v>70703</v>
      </c>
      <c r="FJ222" s="168">
        <v>14565</v>
      </c>
      <c r="FK222" s="21"/>
      <c r="FL222" s="21"/>
      <c r="FM222" s="168">
        <v>137658</v>
      </c>
      <c r="FN222" s="168">
        <v>12668</v>
      </c>
      <c r="FO222" s="21"/>
      <c r="FP222" s="21"/>
      <c r="FQ222" s="21"/>
      <c r="FR222" s="168">
        <v>41884</v>
      </c>
      <c r="FS222" s="21"/>
      <c r="FT222" s="21"/>
      <c r="FU222" s="168">
        <v>-18317</v>
      </c>
      <c r="FV222" s="168">
        <v>-976</v>
      </c>
      <c r="FW222" s="168">
        <v>228268</v>
      </c>
      <c r="FX222" s="168">
        <v>184081</v>
      </c>
      <c r="FY222" s="168">
        <v>4828</v>
      </c>
      <c r="FZ222" s="168">
        <v>2907</v>
      </c>
      <c r="GA222" s="21"/>
      <c r="GB222" s="21"/>
      <c r="GC222" s="21"/>
      <c r="GD222" s="21"/>
      <c r="GE222" s="21"/>
      <c r="GF222" s="21"/>
      <c r="GG222" s="21"/>
      <c r="GH222" s="21"/>
      <c r="GI222" s="21"/>
      <c r="GJ222" s="21"/>
      <c r="GK222" s="168">
        <v>67</v>
      </c>
      <c r="GL222" s="168">
        <v>2230</v>
      </c>
      <c r="GM222" s="21"/>
      <c r="GN222" s="21"/>
      <c r="GO222" s="21"/>
      <c r="GP222" s="21"/>
      <c r="GQ222" s="21"/>
      <c r="GR222" s="21"/>
      <c r="GS222" s="168">
        <v>447838</v>
      </c>
      <c r="GT222" s="168">
        <v>416008</v>
      </c>
      <c r="GU222" s="168">
        <v>273361</v>
      </c>
      <c r="GV222" s="168">
        <v>14839</v>
      </c>
      <c r="GW222" s="168">
        <v>344064</v>
      </c>
      <c r="GX222" s="168">
        <v>29404</v>
      </c>
      <c r="GY222" s="21"/>
      <c r="GZ222" s="21"/>
      <c r="HA222" s="168">
        <v>4106232</v>
      </c>
      <c r="HB222" s="168">
        <v>4418655</v>
      </c>
      <c r="HC222" s="21"/>
      <c r="HD222" s="21"/>
      <c r="HE222" s="168">
        <v>34206</v>
      </c>
      <c r="HF222" s="168">
        <v>14</v>
      </c>
      <c r="HG222" s="21"/>
      <c r="HH222" s="21"/>
      <c r="HI222" s="168">
        <v>246</v>
      </c>
      <c r="HJ222" s="168">
        <v>9</v>
      </c>
      <c r="HK222" s="21"/>
      <c r="HL222" s="21"/>
      <c r="HM222" s="21"/>
      <c r="HN222" s="21"/>
      <c r="HO222" s="168">
        <v>716688</v>
      </c>
      <c r="HP222" s="168">
        <v>719874</v>
      </c>
      <c r="HQ222" s="21"/>
      <c r="HR222" s="21"/>
      <c r="HS222" s="21"/>
      <c r="HT222" s="21"/>
      <c r="HU222" s="21"/>
      <c r="HV222" s="21"/>
      <c r="HW222" s="21"/>
      <c r="HX222" s="21"/>
      <c r="HY222" s="21"/>
      <c r="HZ222" s="21"/>
      <c r="IA222" s="21"/>
      <c r="IB222" s="21"/>
      <c r="IC222" s="21"/>
      <c r="ID222" s="21"/>
      <c r="IE222" s="168">
        <v>186765</v>
      </c>
      <c r="IF222" s="168">
        <v>223660</v>
      </c>
      <c r="IG222" s="168">
        <v>13727</v>
      </c>
      <c r="IH222" s="168">
        <v>31597</v>
      </c>
      <c r="II222" s="21"/>
      <c r="IJ222" s="21"/>
      <c r="IK222" s="21"/>
      <c r="IL222" s="21"/>
      <c r="IM222" s="168">
        <v>-113162</v>
      </c>
      <c r="IN222" s="168">
        <v>11852</v>
      </c>
      <c r="IO222" s="168">
        <v>35087</v>
      </c>
      <c r="IP222" s="168">
        <v>10997</v>
      </c>
      <c r="IQ222" s="21"/>
      <c r="IR222" s="21"/>
      <c r="IS222" s="168">
        <v>35087</v>
      </c>
      <c r="IT222" s="168">
        <v>10997</v>
      </c>
      <c r="IU222" s="21"/>
      <c r="IV222" s="21"/>
      <c r="IW222" s="168">
        <v>541875</v>
      </c>
      <c r="IX222" s="168">
        <v>593932</v>
      </c>
      <c r="IY222" s="168">
        <v>50039</v>
      </c>
      <c r="IZ222" s="168">
        <v>35407</v>
      </c>
      <c r="JA222" s="21"/>
      <c r="JB222" s="21"/>
      <c r="JC222" s="21"/>
      <c r="JD222" s="21"/>
      <c r="JE222" s="168">
        <v>2282560</v>
      </c>
      <c r="JF222" s="168">
        <v>2302712</v>
      </c>
      <c r="JG222" s="168">
        <v>20813</v>
      </c>
      <c r="JH222" s="168">
        <v>26097</v>
      </c>
      <c r="JI222" s="168">
        <v>10508024</v>
      </c>
      <c r="JJ222" s="168">
        <v>10779415</v>
      </c>
      <c r="JK222" s="168">
        <v>13727</v>
      </c>
      <c r="JL222" s="168">
        <v>32176</v>
      </c>
      <c r="JM222" s="168">
        <v>11049899</v>
      </c>
      <c r="JN222" s="168">
        <v>11373347</v>
      </c>
      <c r="JO222" s="168">
        <v>63766</v>
      </c>
      <c r="JP222" s="168">
        <v>67583</v>
      </c>
      <c r="JQ222" s="21"/>
      <c r="JR222" s="21"/>
      <c r="JS222" s="168">
        <v>44706</v>
      </c>
      <c r="JT222" s="168">
        <v>71034</v>
      </c>
      <c r="JU222" s="21"/>
      <c r="JV222" s="21"/>
      <c r="JW222" s="168">
        <v>11055453</v>
      </c>
      <c r="JX222" s="168">
        <v>11244363</v>
      </c>
      <c r="JY222" s="21"/>
      <c r="JZ222" s="21"/>
      <c r="KA222" s="21"/>
      <c r="KB222" s="21"/>
      <c r="KC222" s="21"/>
      <c r="KD222" s="21"/>
      <c r="KE222" s="168">
        <v>81861</v>
      </c>
      <c r="KF222" s="168">
        <v>82024</v>
      </c>
      <c r="KG222" s="21"/>
      <c r="KH222" s="21"/>
      <c r="KI222" s="21"/>
      <c r="KJ222" s="21"/>
      <c r="KK222" s="21"/>
      <c r="KL222" s="21"/>
      <c r="KM222" s="21"/>
      <c r="KN222" s="21"/>
      <c r="KO222" s="21"/>
      <c r="KP222" s="21"/>
      <c r="KQ222" s="21"/>
      <c r="KR222" s="21"/>
      <c r="KS222" s="21"/>
      <c r="KT222" s="21"/>
      <c r="KU222" s="168">
        <v>717089</v>
      </c>
      <c r="KV222" s="168">
        <v>373285</v>
      </c>
      <c r="KW222" s="21"/>
      <c r="KX222" s="21"/>
      <c r="KY222" s="168">
        <v>10690</v>
      </c>
      <c r="KZ222" s="168">
        <v>7632</v>
      </c>
      <c r="LA222" s="168">
        <v>1980000</v>
      </c>
      <c r="LB222" s="168">
        <v>1980000</v>
      </c>
      <c r="LC222" s="21"/>
      <c r="LD222" s="21"/>
      <c r="LE222" s="21"/>
      <c r="LF222" s="21"/>
      <c r="LG222" s="21"/>
      <c r="LH222" s="21"/>
      <c r="LI222" s="168">
        <v>1055001</v>
      </c>
      <c r="LJ222" s="168">
        <v>1075618</v>
      </c>
      <c r="LK222" s="168">
        <v>765748</v>
      </c>
      <c r="LL222" s="168">
        <v>919630</v>
      </c>
      <c r="LM222" s="21"/>
      <c r="LN222" s="21"/>
      <c r="LO222" s="21"/>
      <c r="LP222" s="21"/>
      <c r="LQ222" s="21"/>
      <c r="LR222" s="21"/>
      <c r="LS222" s="21"/>
      <c r="LT222" s="21"/>
      <c r="LU222" s="21"/>
      <c r="LV222" s="21"/>
      <c r="LW222" s="21"/>
      <c r="LX222" s="21"/>
      <c r="LY222" s="21"/>
      <c r="LZ222" s="21"/>
      <c r="MA222" s="168">
        <v>533382</v>
      </c>
      <c r="MB222" s="168">
        <v>82962</v>
      </c>
      <c r="MC222" s="168">
        <v>710145</v>
      </c>
      <c r="MD222" s="168">
        <v>362957</v>
      </c>
      <c r="ME222" s="21"/>
      <c r="MF222" s="21"/>
      <c r="MG222" s="21"/>
      <c r="MH222" s="168">
        <v>14782</v>
      </c>
      <c r="MI222" s="168">
        <v>10749</v>
      </c>
      <c r="MJ222" s="168">
        <v>10749</v>
      </c>
      <c r="MK222" s="21"/>
      <c r="ML222" s="21"/>
      <c r="MM222" s="168">
        <v>38534</v>
      </c>
      <c r="MN222" s="168">
        <v>43241</v>
      </c>
      <c r="MO222" s="21"/>
      <c r="MP222" s="21"/>
      <c r="MQ222" s="21"/>
      <c r="MR222" s="21"/>
      <c r="MS222" s="21"/>
      <c r="MT222" s="21"/>
      <c r="MU222" s="21"/>
      <c r="MV222" s="21"/>
      <c r="MW222" s="168">
        <v>198000</v>
      </c>
      <c r="MX222" s="168">
        <v>198000</v>
      </c>
      <c r="MY222" s="21"/>
      <c r="MZ222" s="21"/>
      <c r="NA222" s="21"/>
      <c r="NB222" s="21"/>
      <c r="NC222" s="168">
        <v>447838</v>
      </c>
      <c r="ND222" s="168">
        <v>416008</v>
      </c>
      <c r="NE222" s="21"/>
      <c r="NF222" s="21"/>
      <c r="NG222" s="168">
        <v>3841180</v>
      </c>
      <c r="NH222" s="168">
        <v>3490621</v>
      </c>
      <c r="NI222" s="21"/>
      <c r="NJ222" s="21"/>
      <c r="NK222" s="21"/>
      <c r="NL222" s="21"/>
      <c r="NM222" s="168">
        <v>2614267</v>
      </c>
      <c r="NN222" s="168">
        <v>2436225</v>
      </c>
      <c r="NO222" s="168">
        <v>6886240</v>
      </c>
      <c r="NP222" s="168">
        <v>6340101</v>
      </c>
      <c r="NQ222" s="168" t="s">
        <v>3241</v>
      </c>
      <c r="NR222" s="168" t="s">
        <v>797</v>
      </c>
      <c r="NS222" s="168" t="s">
        <v>770</v>
      </c>
      <c r="NT222" s="168" t="s">
        <v>771</v>
      </c>
      <c r="NU222" s="168">
        <v>6101</v>
      </c>
      <c r="NV222" s="168" t="s">
        <v>2104</v>
      </c>
      <c r="NW222" s="168" t="s">
        <v>28</v>
      </c>
      <c r="NX222" s="168" t="s">
        <v>25</v>
      </c>
      <c r="NY222" s="169">
        <v>42825</v>
      </c>
      <c r="NZ222" s="169">
        <v>42460</v>
      </c>
      <c r="OA222" s="169">
        <v>43013</v>
      </c>
      <c r="OB222" s="168" t="s">
        <v>1571</v>
      </c>
      <c r="OC222" s="168">
        <v>12</v>
      </c>
      <c r="OD222" s="168" t="s">
        <v>2105</v>
      </c>
      <c r="OE222" s="168" t="s">
        <v>2220</v>
      </c>
      <c r="OF222" s="168" t="s">
        <v>2648</v>
      </c>
      <c r="OG222" s="168" t="s">
        <v>2094</v>
      </c>
      <c r="OH222" s="168" t="s">
        <v>877</v>
      </c>
      <c r="OI222" s="168" t="s">
        <v>766</v>
      </c>
      <c r="OJ222" s="168" t="s">
        <v>3240</v>
      </c>
      <c r="OK222" s="168" t="s">
        <v>796</v>
      </c>
    </row>
    <row r="223" spans="1:401" x14ac:dyDescent="0.2">
      <c r="A223" s="170" t="str">
        <f>Liste[[#This Row],[Siren]]</f>
        <v>423377720</v>
      </c>
      <c r="B223" s="198" t="str">
        <f>Liste[[#This Row],[Dénomination]]&amp;" - comptes "&amp;YEAR(Liste[[#This Row],[Date de cloture de l''exercice]])</f>
        <v>MAINCARE SOLUTIONS HOLDINGS - comptes 2017</v>
      </c>
      <c r="C223" s="21"/>
      <c r="D223" s="21"/>
      <c r="E223" s="21"/>
      <c r="F223" s="168">
        <v>5322000</v>
      </c>
      <c r="G223" s="168">
        <v>7531000</v>
      </c>
      <c r="H223" s="168">
        <v>5322000</v>
      </c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168">
        <v>673000</v>
      </c>
      <c r="BD223" s="168">
        <v>26959000</v>
      </c>
      <c r="BE223" s="168">
        <v>24533000</v>
      </c>
      <c r="BF223" s="168">
        <v>27632000</v>
      </c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168">
        <v>9542000</v>
      </c>
      <c r="BY223" s="168">
        <v>8480000</v>
      </c>
      <c r="BZ223" s="168">
        <v>9542000</v>
      </c>
      <c r="CA223" s="21"/>
      <c r="CB223" s="21"/>
      <c r="CC223" s="21"/>
      <c r="CD223" s="168">
        <v>5672000</v>
      </c>
      <c r="CE223" s="168">
        <v>19553000</v>
      </c>
      <c r="CF223" s="168">
        <v>22840000</v>
      </c>
      <c r="CG223" s="168">
        <v>25225000</v>
      </c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168">
        <v>24261000</v>
      </c>
      <c r="EL223" s="168">
        <v>34027000</v>
      </c>
      <c r="EM223" s="168">
        <v>37708000</v>
      </c>
      <c r="EN223" s="168">
        <v>58288000</v>
      </c>
      <c r="EO223" s="168">
        <v>681000</v>
      </c>
      <c r="EP223" s="168">
        <v>41935000</v>
      </c>
      <c r="EQ223" s="168">
        <v>40658000</v>
      </c>
      <c r="ER223" s="168">
        <v>42616000</v>
      </c>
      <c r="ES223" s="168">
        <v>24942000</v>
      </c>
      <c r="ET223" s="168">
        <v>75962000</v>
      </c>
      <c r="EU223" s="168">
        <v>78366000</v>
      </c>
      <c r="EV223" s="168">
        <v>100904000</v>
      </c>
      <c r="EW223" s="21"/>
      <c r="EX223" s="21"/>
      <c r="EY223" s="21"/>
      <c r="EZ223" s="21"/>
      <c r="FA223" s="21"/>
      <c r="FB223" s="21"/>
      <c r="FC223" s="21"/>
      <c r="FD223" s="21"/>
      <c r="FE223" s="21"/>
      <c r="FF223" s="168">
        <v>78000</v>
      </c>
      <c r="FG223" s="168">
        <v>78000</v>
      </c>
      <c r="FH223" s="168">
        <v>78000</v>
      </c>
      <c r="FI223" s="168">
        <v>34000</v>
      </c>
      <c r="FJ223" s="168">
        <v>313000</v>
      </c>
      <c r="FK223" s="21"/>
      <c r="FL223" s="21"/>
      <c r="FM223" s="21"/>
      <c r="FN223" s="21"/>
      <c r="FO223" s="21"/>
      <c r="FP223" s="21"/>
      <c r="FQ223" s="168">
        <v>-4792000</v>
      </c>
      <c r="FR223" s="168">
        <v>-880000</v>
      </c>
      <c r="FS223" s="21"/>
      <c r="FT223" s="21"/>
      <c r="FU223" s="168">
        <v>210000</v>
      </c>
      <c r="FV223" s="168">
        <v>611000</v>
      </c>
      <c r="FW223" s="168">
        <v>-714000</v>
      </c>
      <c r="FX223" s="168">
        <v>-124000</v>
      </c>
      <c r="FY223" s="21"/>
      <c r="FZ223" s="21"/>
      <c r="GA223" s="21"/>
      <c r="GB223" s="21"/>
      <c r="GC223" s="21"/>
      <c r="GD223" s="21"/>
      <c r="GE223" s="21"/>
      <c r="GF223" s="21"/>
      <c r="GG223" s="21"/>
      <c r="GH223" s="21"/>
      <c r="GI223" s="21"/>
      <c r="GJ223" s="21"/>
      <c r="GK223" s="21"/>
      <c r="GL223" s="21"/>
      <c r="GM223" s="168">
        <v>351000</v>
      </c>
      <c r="GN223" s="168">
        <v>2942000</v>
      </c>
      <c r="GO223" s="21"/>
      <c r="GP223" s="21"/>
      <c r="GQ223" s="21"/>
      <c r="GR223" s="21"/>
      <c r="GS223" s="168">
        <v>351000</v>
      </c>
      <c r="GT223" s="168">
        <v>2942000</v>
      </c>
      <c r="GU223" s="168">
        <v>-95000</v>
      </c>
      <c r="GV223" s="168">
        <v>-68000</v>
      </c>
      <c r="GW223" s="168">
        <v>129000</v>
      </c>
      <c r="GX223" s="168">
        <v>381000</v>
      </c>
      <c r="GY223" s="21"/>
      <c r="GZ223" s="21"/>
      <c r="HA223" s="21"/>
      <c r="HB223" s="21"/>
      <c r="HC223" s="21"/>
      <c r="HD223" s="21"/>
      <c r="HE223" s="168">
        <v>-8666000</v>
      </c>
      <c r="HF223" s="168">
        <v>-6260000</v>
      </c>
      <c r="HG223" s="21"/>
      <c r="HH223" s="21"/>
      <c r="HI223" s="168">
        <v>1448000</v>
      </c>
      <c r="HJ223" s="168">
        <v>1373000</v>
      </c>
      <c r="HK223" s="21"/>
      <c r="HL223" s="21"/>
      <c r="HM223" s="21"/>
      <c r="HN223" s="21"/>
      <c r="HO223" s="21"/>
      <c r="HP223" s="21"/>
      <c r="HQ223" s="21"/>
      <c r="HR223" s="21"/>
      <c r="HS223" s="21"/>
      <c r="HT223" s="21"/>
      <c r="HU223" s="21"/>
      <c r="HV223" s="21"/>
      <c r="HW223" s="21"/>
      <c r="HX223" s="21"/>
      <c r="HY223" s="21"/>
      <c r="HZ223" s="21"/>
      <c r="IA223" s="21"/>
      <c r="IB223" s="21"/>
      <c r="IC223" s="21"/>
      <c r="ID223" s="21"/>
      <c r="IE223" s="21"/>
      <c r="IF223" s="21"/>
      <c r="IG223" s="21"/>
      <c r="IH223" s="21"/>
      <c r="II223" s="21"/>
      <c r="IJ223" s="21"/>
      <c r="IK223" s="21"/>
      <c r="IL223" s="21"/>
      <c r="IM223" s="21"/>
      <c r="IN223" s="21"/>
      <c r="IO223" s="21"/>
      <c r="IP223" s="21"/>
      <c r="IQ223" s="21"/>
      <c r="IR223" s="21"/>
      <c r="IS223" s="21"/>
      <c r="IT223" s="21"/>
      <c r="IU223" s="168">
        <v>5613000</v>
      </c>
      <c r="IV223" s="168">
        <v>3022000</v>
      </c>
      <c r="IW223" s="168">
        <v>6825000</v>
      </c>
      <c r="IX223" s="168">
        <v>3370000</v>
      </c>
      <c r="IY223" s="168">
        <v>-1212000</v>
      </c>
      <c r="IZ223" s="168">
        <v>-348000</v>
      </c>
      <c r="JA223" s="21"/>
      <c r="JB223" s="21"/>
      <c r="JC223" s="21"/>
      <c r="JD223" s="21"/>
      <c r="JE223" s="21"/>
      <c r="JF223" s="21"/>
      <c r="JG223" s="21"/>
      <c r="JH223" s="21"/>
      <c r="JI223" s="168">
        <v>-55426000</v>
      </c>
      <c r="JJ223" s="168">
        <v>-42448000</v>
      </c>
      <c r="JK223" s="168">
        <v>-1235000</v>
      </c>
      <c r="JL223" s="168">
        <v>-717000</v>
      </c>
      <c r="JM223" s="168">
        <v>62251000</v>
      </c>
      <c r="JN223" s="168">
        <v>45818000</v>
      </c>
      <c r="JO223" s="168">
        <v>23000</v>
      </c>
      <c r="JP223" s="168">
        <v>369000</v>
      </c>
      <c r="JQ223" s="21"/>
      <c r="JR223" s="21"/>
      <c r="JS223" s="21"/>
      <c r="JT223" s="21"/>
      <c r="JU223" s="21"/>
      <c r="JV223" s="21"/>
      <c r="JW223" s="168">
        <v>60803000</v>
      </c>
      <c r="JX223" s="168">
        <v>44445000</v>
      </c>
      <c r="JY223" s="21"/>
      <c r="JZ223" s="21"/>
      <c r="KA223" s="21"/>
      <c r="KB223" s="21"/>
      <c r="KC223" s="21"/>
      <c r="KD223" s="21"/>
      <c r="KE223" s="21"/>
      <c r="KF223" s="21"/>
      <c r="KG223" s="21"/>
      <c r="KH223" s="21"/>
      <c r="KI223" s="21"/>
      <c r="KJ223" s="21"/>
      <c r="KK223" s="21"/>
      <c r="KL223" s="21"/>
      <c r="KM223" s="21"/>
      <c r="KN223" s="21"/>
      <c r="KO223" s="21"/>
      <c r="KP223" s="21"/>
      <c r="KQ223" s="168">
        <v>26936000</v>
      </c>
      <c r="KR223" s="168">
        <v>28636000</v>
      </c>
      <c r="KS223" s="21"/>
      <c r="KT223" s="21"/>
      <c r="KU223" s="21"/>
      <c r="KV223" s="21"/>
      <c r="KW223" s="21"/>
      <c r="KX223" s="21"/>
      <c r="KY223" s="168">
        <v>5980000</v>
      </c>
      <c r="KZ223" s="168">
        <v>6272000</v>
      </c>
      <c r="LA223" s="168">
        <v>11899000</v>
      </c>
      <c r="LB223" s="168">
        <v>11899000</v>
      </c>
      <c r="LC223" s="21"/>
      <c r="LD223" s="21"/>
      <c r="LE223" s="21"/>
      <c r="LF223" s="21"/>
      <c r="LG223" s="21"/>
      <c r="LH223" s="21"/>
      <c r="LI223" s="21"/>
      <c r="LJ223" s="21"/>
      <c r="LK223" s="21"/>
      <c r="LL223" s="21"/>
      <c r="LM223" s="21"/>
      <c r="LN223" s="21"/>
      <c r="LO223" s="21"/>
      <c r="LP223" s="21"/>
      <c r="LQ223" s="21"/>
      <c r="LR223" s="21"/>
      <c r="LS223" s="21"/>
      <c r="LT223" s="21"/>
      <c r="LU223" s="21"/>
      <c r="LV223" s="21"/>
      <c r="LW223" s="21"/>
      <c r="LX223" s="21"/>
      <c r="LY223" s="21"/>
      <c r="LZ223" s="21"/>
      <c r="MA223" s="21"/>
      <c r="MB223" s="21"/>
      <c r="MC223" s="168">
        <v>109000</v>
      </c>
      <c r="MD223" s="168">
        <v>288000</v>
      </c>
      <c r="ME223" s="168">
        <v>16063000</v>
      </c>
      <c r="MF223" s="168">
        <v>16063000</v>
      </c>
      <c r="MG223" s="168">
        <v>208000</v>
      </c>
      <c r="MH223" s="168">
        <v>344000</v>
      </c>
      <c r="MI223" s="168">
        <v>1529000</v>
      </c>
      <c r="MJ223" s="168">
        <v>1529000</v>
      </c>
      <c r="MK223" s="21"/>
      <c r="ML223" s="21"/>
      <c r="MM223" s="21"/>
      <c r="MN223" s="21"/>
      <c r="MO223" s="21"/>
      <c r="MP223" s="21"/>
      <c r="MQ223" s="21"/>
      <c r="MR223" s="21"/>
      <c r="MS223" s="21"/>
      <c r="MT223" s="21"/>
      <c r="MU223" s="21"/>
      <c r="MV223" s="21"/>
      <c r="MW223" s="21"/>
      <c r="MX223" s="21"/>
      <c r="MY223" s="21"/>
      <c r="MZ223" s="21"/>
      <c r="NA223" s="21"/>
      <c r="NB223" s="21"/>
      <c r="NC223" s="168">
        <v>351000</v>
      </c>
      <c r="ND223" s="168">
        <v>2942000</v>
      </c>
      <c r="NE223" s="21"/>
      <c r="NF223" s="21"/>
      <c r="NG223" s="168">
        <v>22956000</v>
      </c>
      <c r="NH223" s="168">
        <v>22608000</v>
      </c>
      <c r="NI223" s="21"/>
      <c r="NJ223" s="21"/>
      <c r="NK223" s="21"/>
      <c r="NL223" s="21"/>
      <c r="NM223" s="168">
        <v>49088000</v>
      </c>
      <c r="NN223" s="168">
        <v>51259000</v>
      </c>
      <c r="NO223" s="168">
        <v>75962000</v>
      </c>
      <c r="NP223" s="168">
        <v>78366000</v>
      </c>
      <c r="NQ223" s="168" t="s">
        <v>1572</v>
      </c>
      <c r="NR223" s="168" t="s">
        <v>769</v>
      </c>
      <c r="NS223" s="168" t="s">
        <v>770</v>
      </c>
      <c r="NT223" s="168" t="s">
        <v>771</v>
      </c>
      <c r="NU223" s="168">
        <v>3302</v>
      </c>
      <c r="NV223" s="168" t="s">
        <v>2104</v>
      </c>
      <c r="NW223" s="168" t="s">
        <v>28</v>
      </c>
      <c r="NX223" s="168" t="s">
        <v>25</v>
      </c>
      <c r="NY223" s="169">
        <v>42825</v>
      </c>
      <c r="NZ223" s="169">
        <v>42460</v>
      </c>
      <c r="OA223" s="169">
        <v>43012</v>
      </c>
      <c r="OB223" s="168" t="s">
        <v>1573</v>
      </c>
      <c r="OC223" s="168">
        <v>12</v>
      </c>
      <c r="OD223" s="168" t="s">
        <v>2105</v>
      </c>
      <c r="OE223" s="168" t="s">
        <v>2444</v>
      </c>
      <c r="OF223" s="168" t="s">
        <v>2649</v>
      </c>
      <c r="OG223" s="168" t="s">
        <v>2095</v>
      </c>
      <c r="OH223" s="168" t="s">
        <v>931</v>
      </c>
      <c r="OI223" s="168" t="s">
        <v>766</v>
      </c>
      <c r="OJ223" s="168" t="s">
        <v>3240</v>
      </c>
      <c r="OK223" s="168" t="s">
        <v>767</v>
      </c>
    </row>
    <row r="224" spans="1:401" x14ac:dyDescent="0.2">
      <c r="A224" s="170" t="str">
        <f>Liste[[#This Row],[Siren]]</f>
        <v>811351964</v>
      </c>
      <c r="B224" s="198" t="str">
        <f>Liste[[#This Row],[Dénomination]]&amp;" - comptes "&amp;YEAR(Liste[[#This Row],[Date de cloture de l''exercice]])</f>
        <v>TROIS MATS - comptes 2017</v>
      </c>
      <c r="C224" s="21"/>
      <c r="D224" s="21"/>
      <c r="E224" s="21"/>
      <c r="F224" s="168">
        <v>9920000</v>
      </c>
      <c r="G224" s="168">
        <v>7737000</v>
      </c>
      <c r="H224" s="168">
        <v>9920000</v>
      </c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168">
        <v>204000</v>
      </c>
      <c r="BD224" s="168">
        <v>15311000</v>
      </c>
      <c r="BE224" s="168">
        <v>13822000</v>
      </c>
      <c r="BF224" s="168">
        <v>15515000</v>
      </c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168">
        <v>2638000</v>
      </c>
      <c r="BY224" s="168">
        <v>3092000</v>
      </c>
      <c r="BZ224" s="168">
        <v>2638000</v>
      </c>
      <c r="CA224" s="21"/>
      <c r="CB224" s="21"/>
      <c r="CC224" s="21"/>
      <c r="CD224" s="168">
        <v>165000</v>
      </c>
      <c r="CE224" s="168">
        <v>2039000</v>
      </c>
      <c r="CF224" s="168">
        <v>2039000</v>
      </c>
      <c r="CG224" s="168">
        <v>2204000</v>
      </c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168">
        <v>14672000</v>
      </c>
      <c r="EL224" s="168">
        <v>37200000</v>
      </c>
      <c r="EM224" s="168">
        <v>26766000</v>
      </c>
      <c r="EN224" s="168">
        <v>51872000</v>
      </c>
      <c r="EO224" s="168">
        <v>204000</v>
      </c>
      <c r="EP224" s="168">
        <v>28360000</v>
      </c>
      <c r="EQ224" s="168">
        <v>25053000</v>
      </c>
      <c r="ER224" s="168">
        <v>28564000</v>
      </c>
      <c r="ES224" s="168">
        <v>14876000</v>
      </c>
      <c r="ET224" s="168">
        <v>65560000</v>
      </c>
      <c r="EU224" s="168">
        <v>51819000</v>
      </c>
      <c r="EV224" s="168">
        <v>80436000</v>
      </c>
      <c r="EW224" s="21"/>
      <c r="EX224" s="21"/>
      <c r="EY224" s="21"/>
      <c r="EZ224" s="21"/>
      <c r="FA224" s="21"/>
      <c r="FB224" s="21"/>
      <c r="FC224" s="21"/>
      <c r="FD224" s="21"/>
      <c r="FE224" s="21"/>
      <c r="FF224" s="168">
        <v>21000</v>
      </c>
      <c r="FG224" s="168">
        <v>21000</v>
      </c>
      <c r="FH224" s="168">
        <v>21000</v>
      </c>
      <c r="FI224" s="21"/>
      <c r="FJ224" s="21"/>
      <c r="FK224" s="21"/>
      <c r="FL224" s="21"/>
      <c r="FM224" s="21"/>
      <c r="FN224" s="21"/>
      <c r="FO224" s="21"/>
      <c r="FP224" s="21"/>
      <c r="FQ224" s="21"/>
      <c r="FR224" s="168">
        <v>165000</v>
      </c>
      <c r="FS224" s="21"/>
      <c r="FT224" s="21"/>
      <c r="FU224" s="168">
        <v>279000</v>
      </c>
      <c r="FV224" s="168">
        <v>246000</v>
      </c>
      <c r="FW224" s="21"/>
      <c r="FX224" s="21"/>
      <c r="FY224" s="168">
        <v>746000</v>
      </c>
      <c r="FZ224" s="168">
        <v>707000</v>
      </c>
      <c r="GA224" s="21"/>
      <c r="GB224" s="21"/>
      <c r="GC224" s="21"/>
      <c r="GD224" s="21"/>
      <c r="GE224" s="21"/>
      <c r="GF224" s="21"/>
      <c r="GG224" s="21"/>
      <c r="GH224" s="21"/>
      <c r="GI224" s="21"/>
      <c r="GJ224" s="21"/>
      <c r="GK224" s="21"/>
      <c r="GL224" s="21"/>
      <c r="GM224" s="21"/>
      <c r="GN224" s="21"/>
      <c r="GO224" s="21"/>
      <c r="GP224" s="21"/>
      <c r="GQ224" s="21"/>
      <c r="GR224" s="21"/>
      <c r="GS224" s="168">
        <v>2153000</v>
      </c>
      <c r="GT224" s="168">
        <v>1937000</v>
      </c>
      <c r="GU224" s="21"/>
      <c r="GV224" s="21"/>
      <c r="GW224" s="21"/>
      <c r="GX224" s="21"/>
      <c r="GY224" s="21"/>
      <c r="GZ224" s="21"/>
      <c r="HA224" s="21"/>
      <c r="HB224" s="21"/>
      <c r="HC224" s="21"/>
      <c r="HD224" s="21"/>
      <c r="HE224" s="168">
        <v>32687000</v>
      </c>
      <c r="HF224" s="168">
        <v>23212000</v>
      </c>
      <c r="HG224" s="21"/>
      <c r="HH224" s="21"/>
      <c r="HI224" s="168">
        <v>5035000</v>
      </c>
      <c r="HJ224" s="168">
        <v>3174000</v>
      </c>
      <c r="HK224" s="21"/>
      <c r="HL224" s="21"/>
      <c r="HM224" s="21"/>
      <c r="HN224" s="21"/>
      <c r="HO224" s="21"/>
      <c r="HP224" s="21"/>
      <c r="HQ224" s="21"/>
      <c r="HR224" s="21"/>
      <c r="HS224" s="21"/>
      <c r="HT224" s="21"/>
      <c r="HU224" s="21"/>
      <c r="HV224" s="21"/>
      <c r="HW224" s="21"/>
      <c r="HX224" s="21"/>
      <c r="HY224" s="21"/>
      <c r="HZ224" s="21"/>
      <c r="IA224" s="21"/>
      <c r="IB224" s="21"/>
      <c r="IC224" s="21"/>
      <c r="ID224" s="21"/>
      <c r="IE224" s="168">
        <v>2344000</v>
      </c>
      <c r="IF224" s="168">
        <v>1563000</v>
      </c>
      <c r="IG224" s="21"/>
      <c r="IH224" s="21"/>
      <c r="II224" s="21"/>
      <c r="IJ224" s="21"/>
      <c r="IK224" s="21"/>
      <c r="IL224" s="21"/>
      <c r="IM224" s="21"/>
      <c r="IN224" s="21"/>
      <c r="IO224" s="21"/>
      <c r="IP224" s="21"/>
      <c r="IQ224" s="21"/>
      <c r="IR224" s="21"/>
      <c r="IS224" s="21"/>
      <c r="IT224" s="21"/>
      <c r="IU224" s="168">
        <v>3541000</v>
      </c>
      <c r="IV224" s="168">
        <v>3673000</v>
      </c>
      <c r="IW224" s="168">
        <v>4216000</v>
      </c>
      <c r="IX224" s="168">
        <v>4307000</v>
      </c>
      <c r="IY224" s="21"/>
      <c r="IZ224" s="21"/>
      <c r="JA224" s="21"/>
      <c r="JB224" s="21"/>
      <c r="JC224" s="21"/>
      <c r="JD224" s="21"/>
      <c r="JE224" s="21"/>
      <c r="JF224" s="21"/>
      <c r="JG224" s="21"/>
      <c r="JH224" s="21"/>
      <c r="JI224" s="21"/>
      <c r="JJ224" s="21"/>
      <c r="JK224" s="21"/>
      <c r="JL224" s="21"/>
      <c r="JM224" s="21"/>
      <c r="JN224" s="21"/>
      <c r="JO224" s="21"/>
      <c r="JP224" s="21"/>
      <c r="JQ224" s="21"/>
      <c r="JR224" s="21"/>
      <c r="JS224" s="21"/>
      <c r="JT224" s="21"/>
      <c r="JU224" s="21"/>
      <c r="JV224" s="21"/>
      <c r="JW224" s="168">
        <v>109868000</v>
      </c>
      <c r="JX224" s="168">
        <v>78250000</v>
      </c>
      <c r="JY224" s="21"/>
      <c r="JZ224" s="21"/>
      <c r="KA224" s="21"/>
      <c r="KB224" s="21"/>
      <c r="KC224" s="21"/>
      <c r="KD224" s="21"/>
      <c r="KE224" s="21"/>
      <c r="KF224" s="21"/>
      <c r="KG224" s="21"/>
      <c r="KH224" s="21"/>
      <c r="KI224" s="21"/>
      <c r="KJ224" s="21"/>
      <c r="KK224" s="21"/>
      <c r="KL224" s="21"/>
      <c r="KM224" s="21"/>
      <c r="KN224" s="21"/>
      <c r="KO224" s="21"/>
      <c r="KP224" s="21"/>
      <c r="KQ224" s="168">
        <v>13326000</v>
      </c>
      <c r="KR224" s="168">
        <v>13174000</v>
      </c>
      <c r="KS224" s="21"/>
      <c r="KT224" s="21"/>
      <c r="KU224" s="21"/>
      <c r="KV224" s="21"/>
      <c r="KW224" s="21"/>
      <c r="KX224" s="21"/>
      <c r="KY224" s="21"/>
      <c r="KZ224" s="21"/>
      <c r="LA224" s="168">
        <v>1620000</v>
      </c>
      <c r="LB224" s="168">
        <v>1620000</v>
      </c>
      <c r="LC224" s="21"/>
      <c r="LD224" s="21"/>
      <c r="LE224" s="21"/>
      <c r="LF224" s="21"/>
      <c r="LG224" s="21"/>
      <c r="LH224" s="21"/>
      <c r="LI224" s="21"/>
      <c r="LJ224" s="21"/>
      <c r="LK224" s="168">
        <v>8490000</v>
      </c>
      <c r="LL224" s="168">
        <v>7941000</v>
      </c>
      <c r="LM224" s="21"/>
      <c r="LN224" s="21"/>
      <c r="LO224" s="21"/>
      <c r="LP224" s="21"/>
      <c r="LQ224" s="21"/>
      <c r="LR224" s="21"/>
      <c r="LS224" s="21"/>
      <c r="LT224" s="21"/>
      <c r="LU224" s="21"/>
      <c r="LV224" s="21"/>
      <c r="LW224" s="21"/>
      <c r="LX224" s="21"/>
      <c r="LY224" s="21"/>
      <c r="LZ224" s="21"/>
      <c r="MA224" s="21"/>
      <c r="MB224" s="21"/>
      <c r="MC224" s="168">
        <v>32511000</v>
      </c>
      <c r="MD224" s="168">
        <v>22871000</v>
      </c>
      <c r="ME224" s="168">
        <v>725000</v>
      </c>
      <c r="MF224" s="168">
        <v>725000</v>
      </c>
      <c r="MG224" s="21"/>
      <c r="MH224" s="21"/>
      <c r="MI224" s="21"/>
      <c r="MJ224" s="21"/>
      <c r="MK224" s="21"/>
      <c r="ML224" s="21"/>
      <c r="MM224" s="21"/>
      <c r="MN224" s="21"/>
      <c r="MO224" s="21"/>
      <c r="MP224" s="21"/>
      <c r="MQ224" s="21"/>
      <c r="MR224" s="21"/>
      <c r="MS224" s="21"/>
      <c r="MT224" s="21"/>
      <c r="MU224" s="21"/>
      <c r="MV224" s="21"/>
      <c r="MW224" s="21"/>
      <c r="MX224" s="21"/>
      <c r="MY224" s="21"/>
      <c r="MZ224" s="21"/>
      <c r="NA224" s="21"/>
      <c r="NB224" s="21"/>
      <c r="NC224" s="168">
        <v>3884000</v>
      </c>
      <c r="ND224" s="168">
        <v>1937000</v>
      </c>
      <c r="NE224" s="21"/>
      <c r="NF224" s="21"/>
      <c r="NG224" s="168">
        <v>5695000</v>
      </c>
      <c r="NH224" s="168">
        <v>3557000</v>
      </c>
      <c r="NI224" s="21"/>
      <c r="NJ224" s="21"/>
      <c r="NK224" s="21"/>
      <c r="NL224" s="21"/>
      <c r="NM224" s="168">
        <v>55052000</v>
      </c>
      <c r="NN224" s="168">
        <v>44711000</v>
      </c>
      <c r="NO224" s="168">
        <v>65560000</v>
      </c>
      <c r="NP224" s="168">
        <v>51819000</v>
      </c>
      <c r="NQ224" s="168" t="s">
        <v>1332</v>
      </c>
      <c r="NR224" s="168" t="s">
        <v>804</v>
      </c>
      <c r="NS224" s="168" t="s">
        <v>770</v>
      </c>
      <c r="NT224" s="168" t="s">
        <v>771</v>
      </c>
      <c r="NU224" s="168">
        <v>3102</v>
      </c>
      <c r="NV224" s="168" t="s">
        <v>2104</v>
      </c>
      <c r="NW224" s="168" t="s">
        <v>28</v>
      </c>
      <c r="NX224" s="168" t="s">
        <v>25</v>
      </c>
      <c r="NY224" s="169">
        <v>42825</v>
      </c>
      <c r="NZ224" s="169">
        <v>42460</v>
      </c>
      <c r="OA224" s="169">
        <v>43027</v>
      </c>
      <c r="OB224" s="168" t="s">
        <v>1333</v>
      </c>
      <c r="OC224" s="168">
        <v>12</v>
      </c>
      <c r="OD224" s="168" t="s">
        <v>2151</v>
      </c>
      <c r="OE224" s="168" t="s">
        <v>1334</v>
      </c>
      <c r="OF224" s="168" t="s">
        <v>2471</v>
      </c>
      <c r="OG224" s="168" t="s">
        <v>1974</v>
      </c>
      <c r="OH224" s="168" t="s">
        <v>869</v>
      </c>
      <c r="OI224" s="168" t="s">
        <v>766</v>
      </c>
      <c r="OJ224" s="168" t="s">
        <v>3240</v>
      </c>
      <c r="OK224" s="168" t="s">
        <v>803</v>
      </c>
    </row>
    <row r="225" spans="1:401" x14ac:dyDescent="0.2">
      <c r="A225" s="170" t="str">
        <f>Liste[[#This Row],[Siren]]</f>
        <v>400467825</v>
      </c>
      <c r="B225" s="198" t="str">
        <f>Liste[[#This Row],[Dénomination]]&amp;" - comptes "&amp;YEAR(Liste[[#This Row],[Date de cloture de l''exercice]])</f>
        <v>LA BOUDINIERE - comptes 2017</v>
      </c>
      <c r="C225" s="21"/>
      <c r="D225" s="21"/>
      <c r="E225" s="21"/>
      <c r="F225" s="168">
        <v>18001730</v>
      </c>
      <c r="G225" s="168">
        <v>13878612</v>
      </c>
      <c r="H225" s="168">
        <v>18001730</v>
      </c>
      <c r="I225" s="168">
        <v>14799663</v>
      </c>
      <c r="J225" s="168">
        <v>13762223</v>
      </c>
      <c r="K225" s="168">
        <v>12624001</v>
      </c>
      <c r="L225" s="168">
        <v>28561886</v>
      </c>
      <c r="M225" s="21"/>
      <c r="N225" s="168">
        <v>832503</v>
      </c>
      <c r="O225" s="168">
        <v>884684</v>
      </c>
      <c r="P225" s="168">
        <v>832503</v>
      </c>
      <c r="Q225" s="21"/>
      <c r="R225" s="21"/>
      <c r="S225" s="21"/>
      <c r="T225" s="21"/>
      <c r="U225" s="21"/>
      <c r="V225" s="21"/>
      <c r="W225" s="21"/>
      <c r="X225" s="21"/>
      <c r="Y225" s="168">
        <v>31641</v>
      </c>
      <c r="Z225" s="168">
        <v>5684</v>
      </c>
      <c r="AA225" s="168">
        <v>5684</v>
      </c>
      <c r="AB225" s="168">
        <v>37325</v>
      </c>
      <c r="AC225" s="21"/>
      <c r="AD225" s="168">
        <v>12249</v>
      </c>
      <c r="AE225" s="21"/>
      <c r="AF225" s="168">
        <v>12249</v>
      </c>
      <c r="AG225" s="21"/>
      <c r="AH225" s="21"/>
      <c r="AI225" s="21"/>
      <c r="AJ225" s="21"/>
      <c r="AK225" s="21"/>
      <c r="AL225" s="168">
        <v>45619</v>
      </c>
      <c r="AM225" s="168">
        <v>17547</v>
      </c>
      <c r="AN225" s="168">
        <v>45619</v>
      </c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168">
        <v>1559330</v>
      </c>
      <c r="BA225" s="168">
        <v>1402914</v>
      </c>
      <c r="BB225" s="168">
        <v>1559330</v>
      </c>
      <c r="BC225" s="168">
        <v>191599</v>
      </c>
      <c r="BD225" s="168">
        <v>7636270</v>
      </c>
      <c r="BE225" s="168">
        <v>6483305</v>
      </c>
      <c r="BF225" s="168">
        <v>7827869</v>
      </c>
      <c r="BG225" s="168">
        <v>736483</v>
      </c>
      <c r="BH225" s="168">
        <v>181028</v>
      </c>
      <c r="BI225" s="168">
        <v>61365</v>
      </c>
      <c r="BJ225" s="168">
        <v>917511</v>
      </c>
      <c r="BK225" s="21"/>
      <c r="BL225" s="21"/>
      <c r="BM225" s="21"/>
      <c r="BN225" s="21"/>
      <c r="BO225" s="21"/>
      <c r="BP225" s="168">
        <v>10805090</v>
      </c>
      <c r="BQ225" s="168">
        <v>9235888</v>
      </c>
      <c r="BR225" s="168">
        <v>10805090</v>
      </c>
      <c r="BS225" s="21"/>
      <c r="BT225" s="21"/>
      <c r="BU225" s="21"/>
      <c r="BV225" s="21"/>
      <c r="BW225" s="21"/>
      <c r="BX225" s="168">
        <v>5545253</v>
      </c>
      <c r="BY225" s="168">
        <v>5244332</v>
      </c>
      <c r="BZ225" s="168">
        <v>5545253</v>
      </c>
      <c r="CA225" s="21"/>
      <c r="CB225" s="21"/>
      <c r="CC225" s="21"/>
      <c r="CD225" s="168">
        <v>598120</v>
      </c>
      <c r="CE225" s="168">
        <v>10448654</v>
      </c>
      <c r="CF225" s="168">
        <v>2182055</v>
      </c>
      <c r="CG225" s="168">
        <v>11046774</v>
      </c>
      <c r="CH225" s="21"/>
      <c r="CI225" s="21"/>
      <c r="CJ225" s="21"/>
      <c r="CK225" s="21"/>
      <c r="CL225" s="21"/>
      <c r="CM225" s="21"/>
      <c r="CN225" s="21"/>
      <c r="CO225" s="21"/>
      <c r="CP225" s="168">
        <v>584966</v>
      </c>
      <c r="CQ225" s="168">
        <v>2142033</v>
      </c>
      <c r="CR225" s="168">
        <v>10666752</v>
      </c>
      <c r="CS225" s="168">
        <v>2726999</v>
      </c>
      <c r="CT225" s="21"/>
      <c r="CU225" s="21"/>
      <c r="CV225" s="21"/>
      <c r="CW225" s="21"/>
      <c r="CX225" s="168">
        <v>1750</v>
      </c>
      <c r="CY225" s="21"/>
      <c r="CZ225" s="21"/>
      <c r="DA225" s="168">
        <v>1750</v>
      </c>
      <c r="DB225" s="21"/>
      <c r="DC225" s="168">
        <v>740628</v>
      </c>
      <c r="DD225" s="168">
        <v>506335</v>
      </c>
      <c r="DE225" s="168">
        <v>740628</v>
      </c>
      <c r="DF225" s="168">
        <v>29809923</v>
      </c>
      <c r="DG225" s="168">
        <v>15057377</v>
      </c>
      <c r="DH225" s="168">
        <v>11153086</v>
      </c>
      <c r="DI225" s="168">
        <v>44867300</v>
      </c>
      <c r="DJ225" s="21"/>
      <c r="DK225" s="21"/>
      <c r="DL225" s="21"/>
      <c r="DM225" s="21"/>
      <c r="DN225" s="21"/>
      <c r="DO225" s="168">
        <v>7155442</v>
      </c>
      <c r="DP225" s="168">
        <v>6278710</v>
      </c>
      <c r="DQ225" s="168">
        <v>7155442</v>
      </c>
      <c r="DR225" s="21"/>
      <c r="DS225" s="168">
        <v>2064102</v>
      </c>
      <c r="DT225" s="168">
        <v>2080285</v>
      </c>
      <c r="DU225" s="168">
        <v>2064102</v>
      </c>
      <c r="DV225" s="21"/>
      <c r="DW225" s="168">
        <v>150153</v>
      </c>
      <c r="DX225" s="168">
        <v>138769</v>
      </c>
      <c r="DY225" s="168">
        <v>150153</v>
      </c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168">
        <v>45964426</v>
      </c>
      <c r="EL225" s="168">
        <v>45753070</v>
      </c>
      <c r="EM225" s="168">
        <v>47356849</v>
      </c>
      <c r="EN225" s="168">
        <v>91717496</v>
      </c>
      <c r="EO225" s="168">
        <v>205293</v>
      </c>
      <c r="EP225" s="168">
        <v>40447027</v>
      </c>
      <c r="EQ225" s="168">
        <v>33818615</v>
      </c>
      <c r="ER225" s="168">
        <v>40652320</v>
      </c>
      <c r="ES225" s="168">
        <v>46767839</v>
      </c>
      <c r="ET225" s="168">
        <v>96648751</v>
      </c>
      <c r="EU225" s="168">
        <v>83357519</v>
      </c>
      <c r="EV225" s="168">
        <v>143416590</v>
      </c>
      <c r="EW225" s="21"/>
      <c r="EX225" s="21"/>
      <c r="EY225" s="21"/>
      <c r="EZ225" s="21"/>
      <c r="FA225" s="21"/>
      <c r="FB225" s="21"/>
      <c r="FC225" s="21"/>
      <c r="FD225" s="21"/>
      <c r="FE225" s="168">
        <v>13694</v>
      </c>
      <c r="FF225" s="168">
        <v>503383</v>
      </c>
      <c r="FG225" s="168">
        <v>513195</v>
      </c>
      <c r="FH225" s="168">
        <v>517077</v>
      </c>
      <c r="FI225" s="168">
        <v>-260273</v>
      </c>
      <c r="FJ225" s="168">
        <v>-605865</v>
      </c>
      <c r="FK225" s="21"/>
      <c r="FL225" s="21"/>
      <c r="FM225" s="168">
        <v>106426</v>
      </c>
      <c r="FN225" s="168">
        <v>91081</v>
      </c>
      <c r="FO225" s="168">
        <v>759465</v>
      </c>
      <c r="FP225" s="168">
        <v>4680609</v>
      </c>
      <c r="FQ225" s="168">
        <v>250217</v>
      </c>
      <c r="FR225" s="168">
        <v>850718</v>
      </c>
      <c r="FS225" s="21"/>
      <c r="FT225" s="21"/>
      <c r="FU225" s="168">
        <v>-56488</v>
      </c>
      <c r="FV225" s="168">
        <v>-339876</v>
      </c>
      <c r="FW225" s="168">
        <v>2445601</v>
      </c>
      <c r="FX225" s="168">
        <v>2013263</v>
      </c>
      <c r="FY225" s="168">
        <v>268365</v>
      </c>
      <c r="FZ225" s="168">
        <v>92839</v>
      </c>
      <c r="GA225" s="168">
        <v>1052417</v>
      </c>
      <c r="GB225" s="168">
        <v>490706</v>
      </c>
      <c r="GC225" s="168">
        <v>35188</v>
      </c>
      <c r="GD225" s="168">
        <v>22220</v>
      </c>
      <c r="GE225" s="168">
        <v>296023</v>
      </c>
      <c r="GF225" s="168">
        <v>3831186</v>
      </c>
      <c r="GG225" s="21"/>
      <c r="GH225" s="21"/>
      <c r="GI225" s="21"/>
      <c r="GJ225" s="21"/>
      <c r="GK225" s="168">
        <v>274407</v>
      </c>
      <c r="GL225" s="168">
        <v>312419</v>
      </c>
      <c r="GM225" s="168">
        <v>8504885</v>
      </c>
      <c r="GN225" s="168">
        <v>3959155</v>
      </c>
      <c r="GO225" s="21"/>
      <c r="GP225" s="21"/>
      <c r="GQ225" s="168">
        <v>-41182</v>
      </c>
      <c r="GR225" s="168">
        <v>-20438</v>
      </c>
      <c r="GS225" s="21"/>
      <c r="GT225" s="21"/>
      <c r="GU225" s="168">
        <v>865891</v>
      </c>
      <c r="GV225" s="168">
        <v>4771690</v>
      </c>
      <c r="GW225" s="168">
        <v>605618</v>
      </c>
      <c r="GX225" s="168">
        <v>4165825</v>
      </c>
      <c r="GY225" s="21"/>
      <c r="GZ225" s="21"/>
      <c r="HA225" s="168">
        <v>150926828</v>
      </c>
      <c r="HB225" s="168">
        <v>146643978</v>
      </c>
      <c r="HC225" s="168">
        <v>66983952</v>
      </c>
      <c r="HD225" s="168">
        <v>63122800</v>
      </c>
      <c r="HE225" s="168">
        <v>615184</v>
      </c>
      <c r="HF225" s="168">
        <v>834974</v>
      </c>
      <c r="HG225" s="168">
        <v>68814</v>
      </c>
      <c r="HH225" s="168">
        <v>65972</v>
      </c>
      <c r="HI225" s="168">
        <v>8464</v>
      </c>
      <c r="HJ225" s="168">
        <v>2140</v>
      </c>
      <c r="HK225" s="21"/>
      <c r="HL225" s="21"/>
      <c r="HM225" s="168">
        <v>6064</v>
      </c>
      <c r="HN225" s="21"/>
      <c r="HO225" s="168">
        <v>23622079</v>
      </c>
      <c r="HP225" s="168">
        <v>21979358</v>
      </c>
      <c r="HQ225" s="21"/>
      <c r="HR225" s="21"/>
      <c r="HS225" s="21"/>
      <c r="HT225" s="21"/>
      <c r="HU225" s="168">
        <v>5634386</v>
      </c>
      <c r="HV225" s="168">
        <v>5551083</v>
      </c>
      <c r="HW225" s="168">
        <v>111147</v>
      </c>
      <c r="HX225" s="168">
        <v>206102</v>
      </c>
      <c r="HY225" s="168">
        <v>184222</v>
      </c>
      <c r="HZ225" s="168">
        <v>491382</v>
      </c>
      <c r="IA225" s="168">
        <v>9353</v>
      </c>
      <c r="IB225" s="168">
        <v>12335</v>
      </c>
      <c r="IC225" s="168">
        <v>12339</v>
      </c>
      <c r="ID225" s="168">
        <v>36264</v>
      </c>
      <c r="IE225" s="168">
        <v>4958572</v>
      </c>
      <c r="IF225" s="168">
        <v>4226855</v>
      </c>
      <c r="IG225" s="168">
        <v>52122</v>
      </c>
      <c r="IH225" s="168">
        <v>101338</v>
      </c>
      <c r="II225" s="21"/>
      <c r="IJ225" s="21"/>
      <c r="IK225" s="21"/>
      <c r="IL225" s="21"/>
      <c r="IM225" s="21"/>
      <c r="IN225" s="21"/>
      <c r="IO225" s="21"/>
      <c r="IP225" s="21"/>
      <c r="IQ225" s="21"/>
      <c r="IR225" s="21"/>
      <c r="IS225" s="168">
        <v>12740</v>
      </c>
      <c r="IT225" s="168">
        <v>50748</v>
      </c>
      <c r="IU225" s="168">
        <v>12766452</v>
      </c>
      <c r="IV225" s="168">
        <v>7693108</v>
      </c>
      <c r="IW225" s="168">
        <v>12736789</v>
      </c>
      <c r="IX225" s="168">
        <v>7710141</v>
      </c>
      <c r="IY225" s="168">
        <v>29663</v>
      </c>
      <c r="IZ225" s="168">
        <v>-17033</v>
      </c>
      <c r="JA225" s="168">
        <v>2779878</v>
      </c>
      <c r="JB225" s="168">
        <v>2524314</v>
      </c>
      <c r="JC225" s="168">
        <v>18634</v>
      </c>
      <c r="JD225" s="168">
        <v>3849</v>
      </c>
      <c r="JE225" s="168">
        <v>55762224</v>
      </c>
      <c r="JF225" s="168">
        <v>52212610</v>
      </c>
      <c r="JG225" s="21"/>
      <c r="JH225" s="21"/>
      <c r="JI225" s="168">
        <v>307931217</v>
      </c>
      <c r="JJ225" s="168">
        <v>294578717</v>
      </c>
      <c r="JK225" s="168">
        <v>70525</v>
      </c>
      <c r="JL225" s="168">
        <v>137602</v>
      </c>
      <c r="JM225" s="168">
        <v>2788342</v>
      </c>
      <c r="JN225" s="168">
        <v>2526454</v>
      </c>
      <c r="JO225" s="168">
        <v>100188</v>
      </c>
      <c r="JP225" s="168">
        <v>120569</v>
      </c>
      <c r="JQ225" s="21"/>
      <c r="JR225" s="21"/>
      <c r="JS225" s="168">
        <v>-876730</v>
      </c>
      <c r="JT225" s="168">
        <v>-702760</v>
      </c>
      <c r="JU225" s="168">
        <v>1388170</v>
      </c>
      <c r="JV225" s="168">
        <v>312874407</v>
      </c>
      <c r="JW225" s="168">
        <v>317879664</v>
      </c>
      <c r="JX225" s="168">
        <v>298430546</v>
      </c>
      <c r="JY225" s="168">
        <v>1388170</v>
      </c>
      <c r="JZ225" s="168">
        <v>311486237</v>
      </c>
      <c r="KA225" s="168">
        <v>312874407</v>
      </c>
      <c r="KB225" s="168">
        <v>294317341</v>
      </c>
      <c r="KC225" s="21"/>
      <c r="KD225" s="168">
        <v>5005257</v>
      </c>
      <c r="KE225" s="168">
        <v>5005257</v>
      </c>
      <c r="KF225" s="168">
        <v>4113205</v>
      </c>
      <c r="KG225" s="21"/>
      <c r="KH225" s="21"/>
      <c r="KI225" s="21"/>
      <c r="KJ225" s="21"/>
      <c r="KK225" s="21"/>
      <c r="KL225" s="21"/>
      <c r="KM225" s="21"/>
      <c r="KN225" s="21"/>
      <c r="KO225" s="21"/>
      <c r="KP225" s="21"/>
      <c r="KQ225" s="168">
        <v>65129</v>
      </c>
      <c r="KR225" s="168">
        <v>1927501</v>
      </c>
      <c r="KS225" s="21"/>
      <c r="KT225" s="21"/>
      <c r="KU225" s="168">
        <v>3027963</v>
      </c>
      <c r="KV225" s="168">
        <v>2522641</v>
      </c>
      <c r="KW225" s="21"/>
      <c r="KX225" s="21"/>
      <c r="KY225" s="168">
        <v>259629</v>
      </c>
      <c r="KZ225" s="168">
        <v>297031</v>
      </c>
      <c r="LA225" s="168">
        <v>1127520</v>
      </c>
      <c r="LB225" s="168">
        <v>1127520</v>
      </c>
      <c r="LC225" s="21"/>
      <c r="LD225" s="21"/>
      <c r="LE225" s="21"/>
      <c r="LF225" s="21"/>
      <c r="LG225" s="21"/>
      <c r="LH225" s="21"/>
      <c r="LI225" s="168">
        <v>23130996</v>
      </c>
      <c r="LJ225" s="168">
        <v>21113880</v>
      </c>
      <c r="LK225" s="168">
        <v>27491711</v>
      </c>
      <c r="LL225" s="168">
        <v>25133910</v>
      </c>
      <c r="LM225" s="168">
        <v>4633844</v>
      </c>
      <c r="LN225" s="168">
        <v>2677938</v>
      </c>
      <c r="LO225" s="21"/>
      <c r="LP225" s="21"/>
      <c r="LQ225" s="21"/>
      <c r="LR225" s="21"/>
      <c r="LS225" s="21"/>
      <c r="LT225" s="21"/>
      <c r="LU225" s="21"/>
      <c r="LV225" s="21"/>
      <c r="LW225" s="21"/>
      <c r="LX225" s="21"/>
      <c r="LY225" s="21"/>
      <c r="LZ225" s="21"/>
      <c r="MA225" s="168">
        <v>5881839</v>
      </c>
      <c r="MB225" s="168">
        <v>5459871</v>
      </c>
      <c r="MC225" s="168">
        <v>1256128</v>
      </c>
      <c r="MD225" s="168">
        <v>1192917</v>
      </c>
      <c r="ME225" s="21"/>
      <c r="MF225" s="21"/>
      <c r="MG225" s="21"/>
      <c r="MH225" s="21"/>
      <c r="MI225" s="168">
        <v>2463720</v>
      </c>
      <c r="MJ225" s="168">
        <v>2463720</v>
      </c>
      <c r="MK225" s="21"/>
      <c r="ML225" s="21"/>
      <c r="MM225" s="168">
        <v>446147</v>
      </c>
      <c r="MN225" s="168">
        <v>291336</v>
      </c>
      <c r="MO225" s="168">
        <v>217541</v>
      </c>
      <c r="MP225" s="168">
        <v>202970</v>
      </c>
      <c r="MQ225" s="168">
        <v>562104</v>
      </c>
      <c r="MR225" s="168">
        <v>573113</v>
      </c>
      <c r="MS225" s="21"/>
      <c r="MT225" s="21"/>
      <c r="MU225" s="21"/>
      <c r="MV225" s="21"/>
      <c r="MW225" s="168">
        <v>118640</v>
      </c>
      <c r="MX225" s="168">
        <v>118640</v>
      </c>
      <c r="MY225" s="21"/>
      <c r="MZ225" s="21"/>
      <c r="NA225" s="21"/>
      <c r="NB225" s="21"/>
      <c r="NC225" s="168">
        <v>8504885</v>
      </c>
      <c r="ND225" s="168">
        <v>3959155</v>
      </c>
      <c r="NE225" s="21"/>
      <c r="NF225" s="21"/>
      <c r="NG225" s="168">
        <v>31899722</v>
      </c>
      <c r="NH225" s="168">
        <v>23895048</v>
      </c>
      <c r="NI225" s="21"/>
      <c r="NJ225" s="21"/>
      <c r="NK225" s="21"/>
      <c r="NL225" s="21"/>
      <c r="NM225" s="168">
        <v>63165423</v>
      </c>
      <c r="NN225" s="168">
        <v>58094384</v>
      </c>
      <c r="NO225" s="168">
        <v>96648751</v>
      </c>
      <c r="NP225" s="168">
        <v>83357519</v>
      </c>
      <c r="NQ225" s="168" t="s">
        <v>1335</v>
      </c>
      <c r="NR225" s="168" t="s">
        <v>769</v>
      </c>
      <c r="NS225" s="168" t="s">
        <v>770</v>
      </c>
      <c r="NT225" s="168" t="s">
        <v>771</v>
      </c>
      <c r="NU225" s="168">
        <v>4202</v>
      </c>
      <c r="NV225" s="168" t="s">
        <v>2104</v>
      </c>
      <c r="NW225" s="168" t="s">
        <v>28</v>
      </c>
      <c r="NX225" s="168" t="s">
        <v>25</v>
      </c>
      <c r="NY225" s="169">
        <v>42825</v>
      </c>
      <c r="NZ225" s="169">
        <v>42460</v>
      </c>
      <c r="OA225" s="169">
        <v>43019</v>
      </c>
      <c r="OB225" s="168" t="s">
        <v>1336</v>
      </c>
      <c r="OC225" s="168">
        <v>12</v>
      </c>
      <c r="OD225" s="168" t="s">
        <v>2106</v>
      </c>
      <c r="OE225" s="168" t="s">
        <v>2472</v>
      </c>
      <c r="OF225" s="168" t="s">
        <v>2473</v>
      </c>
      <c r="OG225" s="168" t="s">
        <v>1975</v>
      </c>
      <c r="OH225" s="168" t="s">
        <v>837</v>
      </c>
      <c r="OI225" s="168" t="s">
        <v>766</v>
      </c>
      <c r="OJ225" s="168" t="s">
        <v>3240</v>
      </c>
      <c r="OK225" s="168" t="s">
        <v>767</v>
      </c>
    </row>
    <row r="226" spans="1:401" x14ac:dyDescent="0.2">
      <c r="A226" s="170" t="str">
        <f>Liste[[#This Row],[Siren]]</f>
        <v>532883030</v>
      </c>
      <c r="B226" s="198" t="str">
        <f>Liste[[#This Row],[Dénomination]]&amp;" - comptes "&amp;YEAR(Liste[[#This Row],[Date de cloture de l''exercice]])</f>
        <v>CLEANDRE - comptes 2017</v>
      </c>
      <c r="C226" s="21"/>
      <c r="D226" s="21"/>
      <c r="E226" s="21"/>
      <c r="F226" s="168">
        <v>1343128</v>
      </c>
      <c r="G226" s="168">
        <v>1210555</v>
      </c>
      <c r="H226" s="21"/>
      <c r="I226" s="21"/>
      <c r="J226" s="168">
        <v>205308</v>
      </c>
      <c r="K226" s="168">
        <v>154897</v>
      </c>
      <c r="L226" s="21"/>
      <c r="M226" s="21"/>
      <c r="N226" s="168">
        <v>315590</v>
      </c>
      <c r="O226" s="168">
        <v>219028</v>
      </c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168">
        <v>391</v>
      </c>
      <c r="AA226" s="168">
        <v>114</v>
      </c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168">
        <v>40706</v>
      </c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168">
        <v>253783</v>
      </c>
      <c r="BA226" s="168">
        <v>171618</v>
      </c>
      <c r="BB226" s="21"/>
      <c r="BC226" s="21"/>
      <c r="BD226" s="168">
        <v>14032078</v>
      </c>
      <c r="BE226" s="168">
        <v>13290384</v>
      </c>
      <c r="BF226" s="21"/>
      <c r="BG226" s="21"/>
      <c r="BH226" s="168">
        <v>35471</v>
      </c>
      <c r="BI226" s="168">
        <v>41472</v>
      </c>
      <c r="BJ226" s="21"/>
      <c r="BK226" s="21"/>
      <c r="BL226" s="168">
        <v>1033307</v>
      </c>
      <c r="BM226" s="168">
        <v>770814</v>
      </c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168">
        <v>491669</v>
      </c>
      <c r="BY226" s="168">
        <v>808900</v>
      </c>
      <c r="BZ226" s="21"/>
      <c r="CA226" s="21"/>
      <c r="CB226" s="21"/>
      <c r="CC226" s="21"/>
      <c r="CD226" s="21"/>
      <c r="CE226" s="168">
        <v>1281226</v>
      </c>
      <c r="CF226" s="168">
        <v>1213138</v>
      </c>
      <c r="CG226" s="21"/>
      <c r="CH226" s="21"/>
      <c r="CI226" s="168">
        <v>1593563</v>
      </c>
      <c r="CJ226" s="168">
        <v>1245207</v>
      </c>
      <c r="CK226" s="21"/>
      <c r="CL226" s="21"/>
      <c r="CM226" s="21"/>
      <c r="CN226" s="21"/>
      <c r="CO226" s="21"/>
      <c r="CP226" s="21"/>
      <c r="CQ226" s="168">
        <v>88695</v>
      </c>
      <c r="CR226" s="168">
        <v>81225</v>
      </c>
      <c r="CS226" s="21"/>
      <c r="CT226" s="21"/>
      <c r="CU226" s="168">
        <v>194243</v>
      </c>
      <c r="CV226" s="168">
        <v>218309</v>
      </c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168">
        <v>209924</v>
      </c>
      <c r="DH226" s="168">
        <v>277849</v>
      </c>
      <c r="DI226" s="21"/>
      <c r="DJ226" s="21"/>
      <c r="DK226" s="168">
        <v>3381724</v>
      </c>
      <c r="DL226" s="168">
        <v>3523722</v>
      </c>
      <c r="DM226" s="21"/>
      <c r="DN226" s="21"/>
      <c r="DO226" s="168">
        <v>1664324</v>
      </c>
      <c r="DP226" s="168">
        <v>1303280</v>
      </c>
      <c r="DQ226" s="21"/>
      <c r="DR226" s="21"/>
      <c r="DS226" s="168">
        <v>28308</v>
      </c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168">
        <v>328191</v>
      </c>
      <c r="EE226" s="168">
        <v>255376</v>
      </c>
      <c r="EF226" s="21"/>
      <c r="EG226" s="21"/>
      <c r="EH226" s="21"/>
      <c r="EI226" s="21"/>
      <c r="EJ226" s="21"/>
      <c r="EK226" s="21"/>
      <c r="EL226" s="168">
        <v>3529560</v>
      </c>
      <c r="EM226" s="168">
        <v>3126671</v>
      </c>
      <c r="EN226" s="21"/>
      <c r="EO226" s="21"/>
      <c r="EP226" s="168">
        <v>23134215</v>
      </c>
      <c r="EQ226" s="168">
        <v>21827878</v>
      </c>
      <c r="ER226" s="21"/>
      <c r="ES226" s="21"/>
      <c r="ET226" s="168">
        <v>26663774</v>
      </c>
      <c r="EU226" s="168">
        <v>24954549</v>
      </c>
      <c r="EV226" s="21"/>
      <c r="EW226" s="21"/>
      <c r="EX226" s="168">
        <v>137098</v>
      </c>
      <c r="EY226" s="168">
        <v>149824</v>
      </c>
      <c r="EZ226" s="21"/>
      <c r="FA226" s="21"/>
      <c r="FB226" s="21"/>
      <c r="FC226" s="21"/>
      <c r="FD226" s="21"/>
      <c r="FE226" s="21"/>
      <c r="FF226" s="21"/>
      <c r="FG226" s="168">
        <v>18836</v>
      </c>
      <c r="FH226" s="21"/>
      <c r="FI226" s="168">
        <v>-20443</v>
      </c>
      <c r="FJ226" s="168">
        <v>65447</v>
      </c>
      <c r="FK226" s="21"/>
      <c r="FL226" s="21"/>
      <c r="FM226" s="21"/>
      <c r="FN226" s="21"/>
      <c r="FO226" s="21"/>
      <c r="FP226" s="21"/>
      <c r="FQ226" s="21"/>
      <c r="FR226" s="21"/>
      <c r="FS226" s="21"/>
      <c r="FT226" s="21"/>
      <c r="FU226" s="168">
        <v>-31863</v>
      </c>
      <c r="FV226" s="168">
        <v>-628</v>
      </c>
      <c r="FW226" s="168">
        <v>333873</v>
      </c>
      <c r="FX226" s="168">
        <v>397565</v>
      </c>
      <c r="FY226" s="168">
        <v>-247352</v>
      </c>
      <c r="FZ226" s="168">
        <v>-210956</v>
      </c>
      <c r="GA226" s="21"/>
      <c r="GB226" s="21"/>
      <c r="GC226" s="21"/>
      <c r="GD226" s="21"/>
      <c r="GE226" s="21"/>
      <c r="GF226" s="21"/>
      <c r="GG226" s="21"/>
      <c r="GH226" s="21"/>
      <c r="GI226" s="21"/>
      <c r="GJ226" s="21"/>
      <c r="GK226" s="21"/>
      <c r="GL226" s="21"/>
      <c r="GM226" s="168">
        <v>1539503</v>
      </c>
      <c r="GN226" s="168">
        <v>1608489</v>
      </c>
      <c r="GO226" s="21"/>
      <c r="GP226" s="21"/>
      <c r="GQ226" s="21"/>
      <c r="GR226" s="21"/>
      <c r="GS226" s="168">
        <v>1292151</v>
      </c>
      <c r="GT226" s="168">
        <v>1397533</v>
      </c>
      <c r="GU226" s="168">
        <v>248235</v>
      </c>
      <c r="GV226" s="168">
        <v>317795</v>
      </c>
      <c r="GW226" s="168">
        <v>227792</v>
      </c>
      <c r="GX226" s="168">
        <v>383242</v>
      </c>
      <c r="GY226" s="168">
        <v>10761875</v>
      </c>
      <c r="GZ226" s="168">
        <v>11706702</v>
      </c>
      <c r="HA226" s="168">
        <v>7742094</v>
      </c>
      <c r="HB226" s="168">
        <v>5525074</v>
      </c>
      <c r="HC226" s="21"/>
      <c r="HD226" s="21"/>
      <c r="HE226" s="168">
        <v>10012</v>
      </c>
      <c r="HF226" s="168">
        <v>7730</v>
      </c>
      <c r="HG226" s="21"/>
      <c r="HH226" s="21"/>
      <c r="HI226" s="168">
        <v>623615</v>
      </c>
      <c r="HJ226" s="168">
        <v>1403654</v>
      </c>
      <c r="HK226" s="21"/>
      <c r="HL226" s="21"/>
      <c r="HM226" s="21"/>
      <c r="HN226" s="21"/>
      <c r="HO226" s="168">
        <v>1771567</v>
      </c>
      <c r="HP226" s="168">
        <v>1588343</v>
      </c>
      <c r="HQ226" s="21"/>
      <c r="HR226" s="21"/>
      <c r="HS226" s="21"/>
      <c r="HT226" s="21"/>
      <c r="HU226" s="21"/>
      <c r="HV226" s="21"/>
      <c r="HW226" s="21"/>
      <c r="HX226" s="21"/>
      <c r="HY226" s="21"/>
      <c r="HZ226" s="21"/>
      <c r="IA226" s="21"/>
      <c r="IB226" s="21"/>
      <c r="IC226" s="21"/>
      <c r="ID226" s="21"/>
      <c r="IE226" s="168">
        <v>436398</v>
      </c>
      <c r="IF226" s="168">
        <v>360377</v>
      </c>
      <c r="IG226" s="21"/>
      <c r="IH226" s="21"/>
      <c r="II226" s="21"/>
      <c r="IJ226" s="21"/>
      <c r="IK226" s="168">
        <v>34200</v>
      </c>
      <c r="IL226" s="21"/>
      <c r="IM226" s="168">
        <v>264705</v>
      </c>
      <c r="IN226" s="168">
        <v>799198</v>
      </c>
      <c r="IO226" s="21"/>
      <c r="IP226" s="21"/>
      <c r="IQ226" s="21"/>
      <c r="IR226" s="21"/>
      <c r="IS226" s="21"/>
      <c r="IT226" s="21"/>
      <c r="IU226" s="168">
        <v>1861956</v>
      </c>
      <c r="IV226" s="168">
        <v>1939979</v>
      </c>
      <c r="IW226" s="168">
        <v>2008643</v>
      </c>
      <c r="IX226" s="168">
        <v>2153903</v>
      </c>
      <c r="IY226" s="168">
        <v>-146687</v>
      </c>
      <c r="IZ226" s="168">
        <v>-213924</v>
      </c>
      <c r="JA226" s="21"/>
      <c r="JB226" s="21"/>
      <c r="JC226" s="21"/>
      <c r="JD226" s="21"/>
      <c r="JE226" s="168">
        <v>5895177</v>
      </c>
      <c r="JF226" s="168">
        <v>5359736</v>
      </c>
      <c r="JG226" s="168">
        <v>10265</v>
      </c>
      <c r="JH226" s="168">
        <v>5186</v>
      </c>
      <c r="JI226" s="21"/>
      <c r="JJ226" s="21"/>
      <c r="JK226" s="168">
        <v>187887</v>
      </c>
      <c r="JL226" s="168">
        <v>249153</v>
      </c>
      <c r="JM226" s="21"/>
      <c r="JN226" s="21"/>
      <c r="JO226" s="168">
        <v>41200</v>
      </c>
      <c r="JP226" s="168">
        <v>35228</v>
      </c>
      <c r="JQ226" s="168">
        <v>-39423</v>
      </c>
      <c r="JR226" s="168">
        <v>359310</v>
      </c>
      <c r="JS226" s="168">
        <v>-223987</v>
      </c>
      <c r="JT226" s="168">
        <v>-367450</v>
      </c>
      <c r="JU226" s="21"/>
      <c r="JV226" s="21"/>
      <c r="JW226" s="168">
        <v>38777764</v>
      </c>
      <c r="JX226" s="168">
        <v>34390486</v>
      </c>
      <c r="JY226" s="21"/>
      <c r="JZ226" s="21"/>
      <c r="KA226" s="21"/>
      <c r="KB226" s="21"/>
      <c r="KC226" s="21"/>
      <c r="KD226" s="21"/>
      <c r="KE226" s="21"/>
      <c r="KF226" s="21"/>
      <c r="KG226" s="21"/>
      <c r="KH226" s="21"/>
      <c r="KI226" s="168">
        <v>14170561</v>
      </c>
      <c r="KJ226" s="168">
        <v>15696807</v>
      </c>
      <c r="KK226" s="21"/>
      <c r="KL226" s="21"/>
      <c r="KM226" s="21"/>
      <c r="KN226" s="21"/>
      <c r="KO226" s="21"/>
      <c r="KP226" s="21"/>
      <c r="KQ226" s="168">
        <v>356919</v>
      </c>
      <c r="KR226" s="168">
        <v>500058</v>
      </c>
      <c r="KS226" s="21"/>
      <c r="KT226" s="21"/>
      <c r="KU226" s="21"/>
      <c r="KV226" s="21"/>
      <c r="KW226" s="21"/>
      <c r="KX226" s="21"/>
      <c r="KY226" s="168">
        <v>780716</v>
      </c>
      <c r="KZ226" s="168">
        <v>777104</v>
      </c>
      <c r="LA226" s="168">
        <v>4563000</v>
      </c>
      <c r="LB226" s="168">
        <v>4563000</v>
      </c>
      <c r="LC226" s="21"/>
      <c r="LD226" s="21"/>
      <c r="LE226" s="21"/>
      <c r="LF226" s="21"/>
      <c r="LG226" s="21"/>
      <c r="LH226" s="21"/>
      <c r="LI226" s="168">
        <v>2545073</v>
      </c>
      <c r="LJ226" s="168">
        <v>2471360</v>
      </c>
      <c r="LK226" s="168">
        <v>6645306</v>
      </c>
      <c r="LL226" s="168">
        <v>6295936</v>
      </c>
      <c r="LM226" s="168">
        <v>41192</v>
      </c>
      <c r="LN226" s="168">
        <v>21528</v>
      </c>
      <c r="LO226" s="21"/>
      <c r="LP226" s="21"/>
      <c r="LQ226" s="21"/>
      <c r="LR226" s="21"/>
      <c r="LS226" s="21"/>
      <c r="LT226" s="21"/>
      <c r="LU226" s="21"/>
      <c r="LV226" s="21"/>
      <c r="LW226" s="21"/>
      <c r="LX226" s="21"/>
      <c r="LY226" s="21"/>
      <c r="LZ226" s="21"/>
      <c r="MA226" s="168">
        <v>5667304</v>
      </c>
      <c r="MB226" s="168">
        <v>5960529</v>
      </c>
      <c r="MC226" s="168">
        <v>263661</v>
      </c>
      <c r="MD226" s="168">
        <v>237736</v>
      </c>
      <c r="ME226" s="21"/>
      <c r="MF226" s="21"/>
      <c r="MG226" s="21"/>
      <c r="MH226" s="21"/>
      <c r="MI226" s="168">
        <v>140000</v>
      </c>
      <c r="MJ226" s="168">
        <v>140000</v>
      </c>
      <c r="MK226" s="21"/>
      <c r="ML226" s="21"/>
      <c r="MM226" s="168">
        <v>170226</v>
      </c>
      <c r="MN226" s="168">
        <v>189589</v>
      </c>
      <c r="MO226" s="21"/>
      <c r="MP226" s="21"/>
      <c r="MQ226" s="21"/>
      <c r="MR226" s="21"/>
      <c r="MS226" s="21"/>
      <c r="MT226" s="21"/>
      <c r="MU226" s="168">
        <v>152898</v>
      </c>
      <c r="MV226" s="168">
        <v>75793</v>
      </c>
      <c r="MW226" s="168">
        <v>4358</v>
      </c>
      <c r="MX226" s="168">
        <v>300</v>
      </c>
      <c r="MY226" s="21"/>
      <c r="MZ226" s="21"/>
      <c r="NA226" s="21"/>
      <c r="NB226" s="21"/>
      <c r="NC226" s="168">
        <v>1292151</v>
      </c>
      <c r="ND226" s="168">
        <v>1397533</v>
      </c>
      <c r="NE226" s="21"/>
      <c r="NF226" s="21"/>
      <c r="NG226" s="168">
        <v>7401084</v>
      </c>
      <c r="NH226" s="168">
        <v>6154684</v>
      </c>
      <c r="NI226" s="21"/>
      <c r="NJ226" s="21"/>
      <c r="NK226" s="168">
        <v>1364486</v>
      </c>
      <c r="NL226" s="168">
        <v>938743</v>
      </c>
      <c r="NM226" s="168">
        <v>16783705</v>
      </c>
      <c r="NN226" s="168">
        <v>16849271</v>
      </c>
      <c r="NO226" s="168">
        <v>26663774</v>
      </c>
      <c r="NP226" s="168">
        <v>24954549</v>
      </c>
      <c r="NQ226" s="168" t="s">
        <v>1330</v>
      </c>
      <c r="NR226" s="168" t="s">
        <v>769</v>
      </c>
      <c r="NS226" s="168" t="s">
        <v>770</v>
      </c>
      <c r="NT226" s="168" t="s">
        <v>771</v>
      </c>
      <c r="NU226" s="168">
        <v>8901</v>
      </c>
      <c r="NV226" s="168" t="s">
        <v>2104</v>
      </c>
      <c r="NW226" s="168" t="s">
        <v>28</v>
      </c>
      <c r="NX226" s="168" t="s">
        <v>25</v>
      </c>
      <c r="NY226" s="169">
        <v>42825</v>
      </c>
      <c r="NZ226" s="169">
        <v>42460</v>
      </c>
      <c r="OA226" s="169">
        <v>43038</v>
      </c>
      <c r="OB226" s="168" t="s">
        <v>1331</v>
      </c>
      <c r="OC226" s="168">
        <v>12</v>
      </c>
      <c r="OD226" s="168" t="s">
        <v>2105</v>
      </c>
      <c r="OE226" s="168" t="s">
        <v>2469</v>
      </c>
      <c r="OF226" s="168" t="s">
        <v>2470</v>
      </c>
      <c r="OG226" s="168" t="s">
        <v>1973</v>
      </c>
      <c r="OH226" s="168" t="s">
        <v>828</v>
      </c>
      <c r="OI226" s="168" t="s">
        <v>766</v>
      </c>
      <c r="OJ226" s="168" t="s">
        <v>3240</v>
      </c>
      <c r="OK226" s="168" t="s">
        <v>767</v>
      </c>
    </row>
    <row r="227" spans="1:401" x14ac:dyDescent="0.2">
      <c r="A227" s="170" t="str">
        <f>Liste[[#This Row],[Siren]]</f>
        <v>489317040</v>
      </c>
      <c r="B227" s="198" t="str">
        <f>Liste[[#This Row],[Dénomination]]&amp;" - comptes "&amp;YEAR(Liste[[#This Row],[Date de cloture de l''exercice]])</f>
        <v>ALPIX - comptes 2017</v>
      </c>
      <c r="C227" s="21"/>
      <c r="D227" s="21"/>
      <c r="E227" s="21"/>
      <c r="F227" s="168">
        <v>599260</v>
      </c>
      <c r="G227" s="168">
        <v>993027</v>
      </c>
      <c r="H227" s="168">
        <v>599260</v>
      </c>
      <c r="I227" s="168">
        <v>1939652</v>
      </c>
      <c r="J227" s="168">
        <v>859722</v>
      </c>
      <c r="K227" s="168">
        <v>909888</v>
      </c>
      <c r="L227" s="168">
        <v>2799374</v>
      </c>
      <c r="M227" s="21"/>
      <c r="N227" s="168">
        <v>174869</v>
      </c>
      <c r="O227" s="168">
        <v>173216</v>
      </c>
      <c r="P227" s="168">
        <v>174869</v>
      </c>
      <c r="Q227" s="21"/>
      <c r="R227" s="21"/>
      <c r="S227" s="21"/>
      <c r="T227" s="21"/>
      <c r="U227" s="21"/>
      <c r="V227" s="21"/>
      <c r="W227" s="21"/>
      <c r="X227" s="21"/>
      <c r="Y227" s="21"/>
      <c r="Z227" s="168">
        <v>407113</v>
      </c>
      <c r="AA227" s="168">
        <v>399435</v>
      </c>
      <c r="AB227" s="168">
        <v>407113</v>
      </c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168">
        <v>251304</v>
      </c>
      <c r="BA227" s="168">
        <v>299492</v>
      </c>
      <c r="BB227" s="168">
        <v>251304</v>
      </c>
      <c r="BC227" s="168">
        <v>33589</v>
      </c>
      <c r="BD227" s="168">
        <v>46392</v>
      </c>
      <c r="BE227" s="168">
        <v>105650</v>
      </c>
      <c r="BF227" s="168">
        <v>79981</v>
      </c>
      <c r="BG227" s="168">
        <v>37610</v>
      </c>
      <c r="BH227" s="168">
        <v>2388</v>
      </c>
      <c r="BI227" s="168">
        <v>98</v>
      </c>
      <c r="BJ227" s="168">
        <v>39998</v>
      </c>
      <c r="BK227" s="168">
        <v>7896705</v>
      </c>
      <c r="BL227" s="168">
        <v>5258944</v>
      </c>
      <c r="BM227" s="168">
        <v>5615581</v>
      </c>
      <c r="BN227" s="168">
        <v>13155649</v>
      </c>
      <c r="BO227" s="21"/>
      <c r="BP227" s="21"/>
      <c r="BQ227" s="21"/>
      <c r="BR227" s="21"/>
      <c r="BS227" s="21"/>
      <c r="BT227" s="21"/>
      <c r="BU227" s="21"/>
      <c r="BV227" s="21"/>
      <c r="BW227" s="21"/>
      <c r="BX227" s="168">
        <v>1159872</v>
      </c>
      <c r="BY227" s="168">
        <v>1181134</v>
      </c>
      <c r="BZ227" s="168">
        <v>1159872</v>
      </c>
      <c r="CA227" s="21"/>
      <c r="CB227" s="21"/>
      <c r="CC227" s="21"/>
      <c r="CD227" s="21"/>
      <c r="CE227" s="168">
        <v>15464918</v>
      </c>
      <c r="CF227" s="168">
        <v>15464918</v>
      </c>
      <c r="CG227" s="168">
        <v>15464918</v>
      </c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168">
        <v>18000</v>
      </c>
      <c r="CY227" s="21"/>
      <c r="CZ227" s="21"/>
      <c r="DA227" s="168">
        <v>18000</v>
      </c>
      <c r="DB227" s="21"/>
      <c r="DC227" s="168">
        <v>113925</v>
      </c>
      <c r="DD227" s="168">
        <v>107862</v>
      </c>
      <c r="DE227" s="168">
        <v>113925</v>
      </c>
      <c r="DF227" s="168">
        <v>2376737</v>
      </c>
      <c r="DG227" s="168">
        <v>666719</v>
      </c>
      <c r="DH227" s="168">
        <v>880972</v>
      </c>
      <c r="DI227" s="168">
        <v>3043456</v>
      </c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168">
        <v>12268704</v>
      </c>
      <c r="EL227" s="168">
        <v>9591363</v>
      </c>
      <c r="EM227" s="168">
        <v>10194736</v>
      </c>
      <c r="EN227" s="168">
        <v>21860067</v>
      </c>
      <c r="EO227" s="168">
        <v>102208</v>
      </c>
      <c r="EP227" s="168">
        <v>9950281</v>
      </c>
      <c r="EQ227" s="168">
        <v>10463780</v>
      </c>
      <c r="ER227" s="168">
        <v>10052490</v>
      </c>
      <c r="ES227" s="168">
        <v>12370913</v>
      </c>
      <c r="ET227" s="168">
        <v>35006562</v>
      </c>
      <c r="EU227" s="168">
        <v>36123433</v>
      </c>
      <c r="EV227" s="168">
        <v>47377475</v>
      </c>
      <c r="EW227" s="21"/>
      <c r="EX227" s="168">
        <v>2107684</v>
      </c>
      <c r="EY227" s="168">
        <v>2107684</v>
      </c>
      <c r="EZ227" s="168">
        <v>2107684</v>
      </c>
      <c r="FA227" s="21"/>
      <c r="FB227" s="21"/>
      <c r="FC227" s="21"/>
      <c r="FD227" s="21"/>
      <c r="FE227" s="21"/>
      <c r="FF227" s="168">
        <v>4627144</v>
      </c>
      <c r="FG227" s="168">
        <v>4488597</v>
      </c>
      <c r="FH227" s="168">
        <v>4627144</v>
      </c>
      <c r="FI227" s="168">
        <v>11504</v>
      </c>
      <c r="FJ227" s="168">
        <v>-640694</v>
      </c>
      <c r="FK227" s="21"/>
      <c r="FL227" s="21"/>
      <c r="FM227" s="21"/>
      <c r="FN227" s="21"/>
      <c r="FO227" s="21"/>
      <c r="FP227" s="21"/>
      <c r="FQ227" s="21"/>
      <c r="FR227" s="21"/>
      <c r="FS227" s="21"/>
      <c r="FT227" s="21"/>
      <c r="FU227" s="21"/>
      <c r="FV227" s="21"/>
      <c r="FW227" s="168">
        <v>272491</v>
      </c>
      <c r="FX227" s="168">
        <v>-28017</v>
      </c>
      <c r="FY227" s="168">
        <v>-4515</v>
      </c>
      <c r="FZ227" s="168">
        <v>-3492</v>
      </c>
      <c r="GA227" s="21"/>
      <c r="GB227" s="21"/>
      <c r="GC227" s="21"/>
      <c r="GD227" s="21"/>
      <c r="GE227" s="21"/>
      <c r="GF227" s="21"/>
      <c r="GG227" s="21"/>
      <c r="GH227" s="21"/>
      <c r="GI227" s="21"/>
      <c r="GJ227" s="21"/>
      <c r="GK227" s="21"/>
      <c r="GL227" s="21"/>
      <c r="GM227" s="21"/>
      <c r="GN227" s="21"/>
      <c r="GO227" s="168">
        <v>751502</v>
      </c>
      <c r="GP227" s="168">
        <v>158465</v>
      </c>
      <c r="GQ227" s="21"/>
      <c r="GR227" s="21"/>
      <c r="GS227" s="168">
        <v>756017</v>
      </c>
      <c r="GT227" s="168">
        <v>161957</v>
      </c>
      <c r="GU227" s="168">
        <v>38518</v>
      </c>
      <c r="GV227" s="168">
        <v>675334</v>
      </c>
      <c r="GW227" s="168">
        <v>50022</v>
      </c>
      <c r="GX227" s="168">
        <v>34639</v>
      </c>
      <c r="GY227" s="21"/>
      <c r="GZ227" s="21"/>
      <c r="HA227" s="21"/>
      <c r="HB227" s="21"/>
      <c r="HC227" s="168">
        <v>4842305</v>
      </c>
      <c r="HD227" s="168">
        <v>3602308</v>
      </c>
      <c r="HE227" s="168">
        <v>44654</v>
      </c>
      <c r="HF227" s="168">
        <v>67191</v>
      </c>
      <c r="HG227" s="168">
        <v>82974</v>
      </c>
      <c r="HH227" s="168">
        <v>112059</v>
      </c>
      <c r="HI227" s="168">
        <v>8434</v>
      </c>
      <c r="HJ227" s="168">
        <v>34941</v>
      </c>
      <c r="HK227" s="21"/>
      <c r="HL227" s="21"/>
      <c r="HM227" s="21"/>
      <c r="HN227" s="21"/>
      <c r="HO227" s="168">
        <v>4948690</v>
      </c>
      <c r="HP227" s="168">
        <v>4893497</v>
      </c>
      <c r="HQ227" s="21"/>
      <c r="HR227" s="21"/>
      <c r="HS227" s="21"/>
      <c r="HT227" s="21"/>
      <c r="HU227" s="168">
        <v>1019919</v>
      </c>
      <c r="HV227" s="168">
        <v>1111383</v>
      </c>
      <c r="HW227" s="21"/>
      <c r="HX227" s="21"/>
      <c r="HY227" s="168">
        <v>-36197</v>
      </c>
      <c r="HZ227" s="168">
        <v>-37560</v>
      </c>
      <c r="IA227" s="21"/>
      <c r="IB227" s="21"/>
      <c r="IC227" s="21"/>
      <c r="ID227" s="21"/>
      <c r="IE227" s="168">
        <v>743729</v>
      </c>
      <c r="IF227" s="168">
        <v>816940</v>
      </c>
      <c r="IG227" s="168">
        <v>441202</v>
      </c>
      <c r="IH227" s="168">
        <v>453086</v>
      </c>
      <c r="II227" s="21"/>
      <c r="IJ227" s="21"/>
      <c r="IK227" s="21"/>
      <c r="IL227" s="21"/>
      <c r="IM227" s="21"/>
      <c r="IN227" s="21"/>
      <c r="IO227" s="21"/>
      <c r="IP227" s="21"/>
      <c r="IQ227" s="21"/>
      <c r="IR227" s="21"/>
      <c r="IS227" s="21"/>
      <c r="IT227" s="21"/>
      <c r="IU227" s="168">
        <v>1012489</v>
      </c>
      <c r="IV227" s="168">
        <v>771142</v>
      </c>
      <c r="IW227" s="168">
        <v>1335423</v>
      </c>
      <c r="IX227" s="168">
        <v>1045691</v>
      </c>
      <c r="IY227" s="168">
        <v>-322934</v>
      </c>
      <c r="IZ227" s="168">
        <v>-274549</v>
      </c>
      <c r="JA227" s="168">
        <v>297879</v>
      </c>
      <c r="JB227" s="168">
        <v>285432</v>
      </c>
      <c r="JC227" s="21"/>
      <c r="JD227" s="21"/>
      <c r="JE227" s="21"/>
      <c r="JF227" s="21"/>
      <c r="JG227" s="21"/>
      <c r="JH227" s="21"/>
      <c r="JI227" s="168">
        <v>51323842</v>
      </c>
      <c r="JJ227" s="168">
        <v>51779868</v>
      </c>
      <c r="JK227" s="168">
        <v>441202</v>
      </c>
      <c r="JL227" s="168">
        <v>453086</v>
      </c>
      <c r="JM227" s="168">
        <v>52659265</v>
      </c>
      <c r="JN227" s="168">
        <v>52825559</v>
      </c>
      <c r="JO227" s="168">
        <v>118268</v>
      </c>
      <c r="JP227" s="168">
        <v>178538</v>
      </c>
      <c r="JQ227" s="21"/>
      <c r="JR227" s="21"/>
      <c r="JS227" s="168">
        <v>221005</v>
      </c>
      <c r="JT227" s="168">
        <v>567349</v>
      </c>
      <c r="JU227" s="21"/>
      <c r="JV227" s="21"/>
      <c r="JW227" s="168">
        <v>52352951</v>
      </c>
      <c r="JX227" s="168">
        <v>52505186</v>
      </c>
      <c r="JY227" s="21"/>
      <c r="JZ227" s="21"/>
      <c r="KA227" s="21"/>
      <c r="KB227" s="21"/>
      <c r="KC227" s="21"/>
      <c r="KD227" s="21"/>
      <c r="KE227" s="21"/>
      <c r="KF227" s="21"/>
      <c r="KG227" s="21"/>
      <c r="KH227" s="21"/>
      <c r="KI227" s="21"/>
      <c r="KJ227" s="21"/>
      <c r="KK227" s="21"/>
      <c r="KL227" s="21"/>
      <c r="KM227" s="21"/>
      <c r="KN227" s="21"/>
      <c r="KO227" s="21"/>
      <c r="KP227" s="21"/>
      <c r="KQ227" s="168">
        <v>198651</v>
      </c>
      <c r="KR227" s="168">
        <v>295009</v>
      </c>
      <c r="KS227" s="21"/>
      <c r="KT227" s="21"/>
      <c r="KU227" s="21"/>
      <c r="KV227" s="21"/>
      <c r="KW227" s="21"/>
      <c r="KX227" s="21"/>
      <c r="KY227" s="21"/>
      <c r="KZ227" s="21"/>
      <c r="LA227" s="168">
        <v>7396700</v>
      </c>
      <c r="LB227" s="168">
        <v>7396700</v>
      </c>
      <c r="LC227" s="21"/>
      <c r="LD227" s="21"/>
      <c r="LE227" s="21"/>
      <c r="LF227" s="21"/>
      <c r="LG227" s="21"/>
      <c r="LH227" s="21"/>
      <c r="LI227" s="168">
        <v>1370316</v>
      </c>
      <c r="LJ227" s="168">
        <v>1381534</v>
      </c>
      <c r="LK227" s="168">
        <v>3856512</v>
      </c>
      <c r="LL227" s="168">
        <v>4110366</v>
      </c>
      <c r="LM227" s="21"/>
      <c r="LN227" s="21"/>
      <c r="LO227" s="21"/>
      <c r="LP227" s="21"/>
      <c r="LQ227" s="21"/>
      <c r="LR227" s="21"/>
      <c r="LS227" s="21"/>
      <c r="LT227" s="21"/>
      <c r="LU227" s="21"/>
      <c r="LV227" s="21"/>
      <c r="LW227" s="21"/>
      <c r="LX227" s="21"/>
      <c r="LY227" s="21"/>
      <c r="LZ227" s="21"/>
      <c r="MA227" s="168">
        <v>18380031</v>
      </c>
      <c r="MB227" s="168">
        <v>19641525</v>
      </c>
      <c r="MC227" s="168">
        <v>80285</v>
      </c>
      <c r="MD227" s="168">
        <v>78818</v>
      </c>
      <c r="ME227" s="21"/>
      <c r="MF227" s="21"/>
      <c r="MG227" s="21"/>
      <c r="MH227" s="21"/>
      <c r="MI227" s="21"/>
      <c r="MJ227" s="21"/>
      <c r="MK227" s="21"/>
      <c r="ML227" s="21"/>
      <c r="MM227" s="168">
        <v>503</v>
      </c>
      <c r="MN227" s="21"/>
      <c r="MO227" s="21"/>
      <c r="MP227" s="21"/>
      <c r="MQ227" s="21"/>
      <c r="MR227" s="21"/>
      <c r="MS227" s="21"/>
      <c r="MT227" s="21"/>
      <c r="MU227" s="168">
        <v>3765534</v>
      </c>
      <c r="MV227" s="168">
        <v>3540672</v>
      </c>
      <c r="MW227" s="168">
        <v>261093</v>
      </c>
      <c r="MX227" s="168">
        <v>238205</v>
      </c>
      <c r="MY227" s="21"/>
      <c r="MZ227" s="21"/>
      <c r="NA227" s="21"/>
      <c r="NB227" s="21"/>
      <c r="NC227" s="168">
        <v>756017</v>
      </c>
      <c r="ND227" s="168">
        <v>161957</v>
      </c>
      <c r="NE227" s="21"/>
      <c r="NF227" s="21"/>
      <c r="NG227" s="168">
        <v>10954761</v>
      </c>
      <c r="NH227" s="168">
        <v>10408744</v>
      </c>
      <c r="NI227" s="21"/>
      <c r="NJ227" s="21"/>
      <c r="NK227" s="21"/>
      <c r="NL227" s="21"/>
      <c r="NM227" s="168">
        <v>23886298</v>
      </c>
      <c r="NN227" s="168">
        <v>25507252</v>
      </c>
      <c r="NO227" s="168">
        <v>35006562</v>
      </c>
      <c r="NP227" s="168">
        <v>36123433</v>
      </c>
      <c r="NQ227" s="168" t="s">
        <v>1126</v>
      </c>
      <c r="NR227" s="168" t="s">
        <v>769</v>
      </c>
      <c r="NS227" s="168" t="s">
        <v>770</v>
      </c>
      <c r="NT227" s="168" t="s">
        <v>771</v>
      </c>
      <c r="NU227" s="168">
        <v>401</v>
      </c>
      <c r="NV227" s="168" t="s">
        <v>2104</v>
      </c>
      <c r="NW227" s="168" t="s">
        <v>28</v>
      </c>
      <c r="NX227" s="168" t="s">
        <v>25</v>
      </c>
      <c r="NY227" s="169">
        <v>42825</v>
      </c>
      <c r="NZ227" s="169">
        <v>42460</v>
      </c>
      <c r="OA227" s="169">
        <v>43020</v>
      </c>
      <c r="OB227" s="168" t="s">
        <v>1127</v>
      </c>
      <c r="OC227" s="168">
        <v>12</v>
      </c>
      <c r="OD227" s="168" t="s">
        <v>2105</v>
      </c>
      <c r="OE227" s="168" t="s">
        <v>2264</v>
      </c>
      <c r="OF227" s="168" t="s">
        <v>2315</v>
      </c>
      <c r="OG227" s="168" t="s">
        <v>1891</v>
      </c>
      <c r="OH227" s="168" t="s">
        <v>978</v>
      </c>
      <c r="OI227" s="168" t="s">
        <v>766</v>
      </c>
      <c r="OJ227" s="168" t="s">
        <v>3240</v>
      </c>
      <c r="OK227" s="168" t="s">
        <v>767</v>
      </c>
    </row>
    <row r="228" spans="1:401" x14ac:dyDescent="0.2">
      <c r="A228" s="170" t="str">
        <f>Liste[[#This Row],[Siren]]</f>
        <v>523526754</v>
      </c>
      <c r="B228" s="198" t="str">
        <f>Liste[[#This Row],[Dénomination]]&amp;" - comptes "&amp;YEAR(Liste[[#This Row],[Date de cloture de l''exercice]])</f>
        <v>ACTIVE'INVEST - comptes 2017</v>
      </c>
      <c r="C228" s="21"/>
      <c r="D228" s="21"/>
      <c r="E228" s="21"/>
      <c r="F228" s="168">
        <v>3917000</v>
      </c>
      <c r="G228" s="168">
        <v>2543000</v>
      </c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168">
        <v>6748000</v>
      </c>
      <c r="BE228" s="168">
        <v>9927000</v>
      </c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168">
        <v>22073000</v>
      </c>
      <c r="EQ228" s="168">
        <v>21614000</v>
      </c>
      <c r="ER228" s="21"/>
      <c r="ES228" s="21"/>
      <c r="ET228" s="168">
        <v>39235000</v>
      </c>
      <c r="EU228" s="168">
        <v>38589000</v>
      </c>
      <c r="EV228" s="21"/>
      <c r="EW228" s="21"/>
      <c r="EX228" s="21"/>
      <c r="EY228" s="21"/>
      <c r="EZ228" s="21"/>
      <c r="FA228" s="21"/>
      <c r="FB228" s="21"/>
      <c r="FC228" s="21"/>
      <c r="FD228" s="21"/>
      <c r="FE228" s="21"/>
      <c r="FF228" s="21"/>
      <c r="FG228" s="21"/>
      <c r="FH228" s="21"/>
      <c r="FI228" s="168">
        <v>-66000</v>
      </c>
      <c r="FJ228" s="168">
        <v>-87000</v>
      </c>
      <c r="FK228" s="21"/>
      <c r="FL228" s="21"/>
      <c r="FM228" s="21"/>
      <c r="FN228" s="21"/>
      <c r="FO228" s="21"/>
      <c r="FP228" s="21"/>
      <c r="FQ228" s="168">
        <v>2345000</v>
      </c>
      <c r="FR228" s="168">
        <v>2337000</v>
      </c>
      <c r="FS228" s="21"/>
      <c r="FT228" s="21"/>
      <c r="FU228" s="21"/>
      <c r="FV228" s="21"/>
      <c r="FW228" s="21"/>
      <c r="FX228" s="21"/>
      <c r="FY228" s="21"/>
      <c r="FZ228" s="21"/>
      <c r="GA228" s="21"/>
      <c r="GB228" s="21"/>
      <c r="GC228" s="21"/>
      <c r="GD228" s="21"/>
      <c r="GE228" s="21"/>
      <c r="GF228" s="21"/>
      <c r="GG228" s="21"/>
      <c r="GH228" s="21"/>
      <c r="GI228" s="21"/>
      <c r="GJ228" s="21"/>
      <c r="GK228" s="21"/>
      <c r="GL228" s="21"/>
      <c r="GM228" s="168">
        <v>-144000</v>
      </c>
      <c r="GN228" s="168">
        <v>-32000</v>
      </c>
      <c r="GO228" s="168">
        <v>1715000</v>
      </c>
      <c r="GP228" s="168">
        <v>2279000</v>
      </c>
      <c r="GQ228" s="21"/>
      <c r="GR228" s="21"/>
      <c r="GS228" s="21"/>
      <c r="GT228" s="21"/>
      <c r="GU228" s="168">
        <v>88000</v>
      </c>
      <c r="GV228" s="168">
        <v>1126000</v>
      </c>
      <c r="GW228" s="168">
        <v>22000</v>
      </c>
      <c r="GX228" s="168">
        <v>1039000</v>
      </c>
      <c r="GY228" s="168">
        <v>26705000</v>
      </c>
      <c r="GZ228" s="168">
        <v>25260000</v>
      </c>
      <c r="HA228" s="21"/>
      <c r="HB228" s="21"/>
      <c r="HC228" s="168">
        <v>12242000</v>
      </c>
      <c r="HD228" s="168">
        <v>10376000</v>
      </c>
      <c r="HE228" s="21"/>
      <c r="HF228" s="21"/>
      <c r="HG228" s="21"/>
      <c r="HH228" s="21"/>
      <c r="HI228" s="168">
        <v>4000</v>
      </c>
      <c r="HJ228" s="168">
        <v>4000</v>
      </c>
      <c r="HK228" s="21"/>
      <c r="HL228" s="21"/>
      <c r="HM228" s="21"/>
      <c r="HN228" s="21"/>
      <c r="HO228" s="21"/>
      <c r="HP228" s="21"/>
      <c r="HQ228" s="21"/>
      <c r="HR228" s="21"/>
      <c r="HS228" s="21"/>
      <c r="HT228" s="21"/>
      <c r="HU228" s="21"/>
      <c r="HV228" s="21"/>
      <c r="HW228" s="21"/>
      <c r="HX228" s="21"/>
      <c r="HY228" s="21"/>
      <c r="HZ228" s="21"/>
      <c r="IA228" s="21"/>
      <c r="IB228" s="21"/>
      <c r="IC228" s="21"/>
      <c r="ID228" s="21"/>
      <c r="IE228" s="21"/>
      <c r="IF228" s="21"/>
      <c r="IG228" s="21"/>
      <c r="IH228" s="21"/>
      <c r="II228" s="21"/>
      <c r="IJ228" s="21"/>
      <c r="IK228" s="168">
        <v>419000</v>
      </c>
      <c r="IL228" s="168">
        <v>247000</v>
      </c>
      <c r="IM228" s="168">
        <v>105000</v>
      </c>
      <c r="IN228" s="168">
        <v>-300000</v>
      </c>
      <c r="IO228" s="21"/>
      <c r="IP228" s="21"/>
      <c r="IQ228" s="21"/>
      <c r="IR228" s="21"/>
      <c r="IS228" s="21"/>
      <c r="IT228" s="21"/>
      <c r="IU228" s="168">
        <v>-652000</v>
      </c>
      <c r="IV228" s="168">
        <v>95000</v>
      </c>
      <c r="IW228" s="168">
        <v>-657000</v>
      </c>
      <c r="IX228" s="168">
        <v>248000</v>
      </c>
      <c r="IY228" s="168">
        <v>5000</v>
      </c>
      <c r="IZ228" s="168">
        <v>-155000</v>
      </c>
      <c r="JA228" s="168">
        <v>2031000</v>
      </c>
      <c r="JB228" s="168">
        <v>1015000</v>
      </c>
      <c r="JC228" s="21"/>
      <c r="JD228" s="21"/>
      <c r="JE228" s="21"/>
      <c r="JF228" s="21"/>
      <c r="JG228" s="168">
        <v>176000</v>
      </c>
      <c r="JH228" s="168">
        <v>76000</v>
      </c>
      <c r="JI228" s="168">
        <v>62807000</v>
      </c>
      <c r="JJ228" s="168">
        <v>59227000</v>
      </c>
      <c r="JK228" s="168">
        <v>226000</v>
      </c>
      <c r="JL228" s="168">
        <v>447000</v>
      </c>
      <c r="JM228" s="168">
        <v>2734000</v>
      </c>
      <c r="JN228" s="168">
        <v>1042000</v>
      </c>
      <c r="JO228" s="168">
        <v>231000</v>
      </c>
      <c r="JP228" s="168">
        <v>292000</v>
      </c>
      <c r="JQ228" s="21"/>
      <c r="JR228" s="21"/>
      <c r="JS228" s="21"/>
      <c r="JT228" s="21"/>
      <c r="JU228" s="21"/>
      <c r="JV228" s="21"/>
      <c r="JW228" s="168">
        <v>59416000</v>
      </c>
      <c r="JX228" s="168">
        <v>58435000</v>
      </c>
      <c r="JY228" s="21"/>
      <c r="JZ228" s="21"/>
      <c r="KA228" s="168">
        <v>1215000</v>
      </c>
      <c r="KB228" s="168">
        <v>675000</v>
      </c>
      <c r="KC228" s="21"/>
      <c r="KD228" s="21"/>
      <c r="KE228" s="168">
        <v>58010000</v>
      </c>
      <c r="KF228" s="168">
        <v>57635000</v>
      </c>
      <c r="KG228" s="21"/>
      <c r="KH228" s="21"/>
      <c r="KI228" s="168">
        <v>191000</v>
      </c>
      <c r="KJ228" s="168">
        <v>125000</v>
      </c>
      <c r="KK228" s="168">
        <v>196000</v>
      </c>
      <c r="KL228" s="168">
        <v>114000</v>
      </c>
      <c r="KM228" s="21"/>
      <c r="KN228" s="21"/>
      <c r="KO228" s="21"/>
      <c r="KP228" s="21"/>
      <c r="KQ228" s="168">
        <v>1146000</v>
      </c>
      <c r="KR228" s="168">
        <v>474000</v>
      </c>
      <c r="KS228" s="21"/>
      <c r="KT228" s="21"/>
      <c r="KU228" s="21"/>
      <c r="KV228" s="21"/>
      <c r="KW228" s="21"/>
      <c r="KX228" s="21"/>
      <c r="KY228" s="21"/>
      <c r="KZ228" s="21"/>
      <c r="LA228" s="168">
        <v>140000</v>
      </c>
      <c r="LB228" s="168">
        <v>140000</v>
      </c>
      <c r="LC228" s="21"/>
      <c r="LD228" s="21"/>
      <c r="LE228" s="21"/>
      <c r="LF228" s="21"/>
      <c r="LG228" s="21"/>
      <c r="LH228" s="21"/>
      <c r="LI228" s="168">
        <v>5803000</v>
      </c>
      <c r="LJ228" s="168">
        <v>5860000</v>
      </c>
      <c r="LK228" s="168">
        <v>7886000</v>
      </c>
      <c r="LL228" s="168">
        <v>8327000</v>
      </c>
      <c r="LM228" s="168">
        <v>453000</v>
      </c>
      <c r="LN228" s="168">
        <v>33000</v>
      </c>
      <c r="LO228" s="21"/>
      <c r="LP228" s="21"/>
      <c r="LQ228" s="21"/>
      <c r="LR228" s="21"/>
      <c r="LS228" s="21"/>
      <c r="LT228" s="21"/>
      <c r="LU228" s="21"/>
      <c r="LV228" s="21"/>
      <c r="LW228" s="21"/>
      <c r="LX228" s="21"/>
      <c r="LY228" s="21"/>
      <c r="LZ228" s="21"/>
      <c r="MA228" s="21"/>
      <c r="MB228" s="21"/>
      <c r="MC228" s="168">
        <v>2594000</v>
      </c>
      <c r="MD228" s="168">
        <v>1140000</v>
      </c>
      <c r="ME228" s="21"/>
      <c r="MF228" s="21"/>
      <c r="MG228" s="21"/>
      <c r="MH228" s="21"/>
      <c r="MI228" s="21"/>
      <c r="MJ228" s="21"/>
      <c r="MK228" s="21"/>
      <c r="ML228" s="21"/>
      <c r="MM228" s="21"/>
      <c r="MN228" s="21"/>
      <c r="MO228" s="21"/>
      <c r="MP228" s="21"/>
      <c r="MQ228" s="21"/>
      <c r="MR228" s="21"/>
      <c r="MS228" s="21"/>
      <c r="MT228" s="21"/>
      <c r="MU228" s="21"/>
      <c r="MV228" s="21"/>
      <c r="MW228" s="168">
        <v>9883000</v>
      </c>
      <c r="MX228" s="168">
        <v>7615000</v>
      </c>
      <c r="MY228" s="21"/>
      <c r="MZ228" s="21"/>
      <c r="NA228" s="21"/>
      <c r="NB228" s="21"/>
      <c r="NC228" s="168">
        <v>1859000</v>
      </c>
      <c r="ND228" s="168">
        <v>2310000</v>
      </c>
      <c r="NE228" s="21"/>
      <c r="NF228" s="21"/>
      <c r="NG228" s="168">
        <v>11887000</v>
      </c>
      <c r="NH228" s="168">
        <v>10065000</v>
      </c>
      <c r="NI228" s="21"/>
      <c r="NJ228" s="21"/>
      <c r="NK228" s="21"/>
      <c r="NL228" s="21"/>
      <c r="NM228" s="168">
        <v>178892000</v>
      </c>
      <c r="NN228" s="168">
        <v>15834000</v>
      </c>
      <c r="NO228" s="168">
        <v>19235000</v>
      </c>
      <c r="NP228" s="168">
        <v>33589000</v>
      </c>
      <c r="NQ228" s="168" t="s">
        <v>836</v>
      </c>
      <c r="NR228" s="168" t="s">
        <v>779</v>
      </c>
      <c r="NS228" s="168" t="s">
        <v>770</v>
      </c>
      <c r="NT228" s="168" t="s">
        <v>771</v>
      </c>
      <c r="NU228" s="168">
        <v>7501</v>
      </c>
      <c r="NV228" s="168" t="s">
        <v>2104</v>
      </c>
      <c r="NW228" s="168" t="s">
        <v>28</v>
      </c>
      <c r="NX228" s="168" t="s">
        <v>25</v>
      </c>
      <c r="NY228" s="169">
        <v>42825</v>
      </c>
      <c r="NZ228" s="169">
        <v>42460</v>
      </c>
      <c r="OA228" s="169">
        <v>43026</v>
      </c>
      <c r="OB228" s="168" t="s">
        <v>1133</v>
      </c>
      <c r="OC228" s="168">
        <v>12</v>
      </c>
      <c r="OD228" s="168" t="s">
        <v>2106</v>
      </c>
      <c r="OE228" s="168" t="s">
        <v>2319</v>
      </c>
      <c r="OF228" s="168" t="s">
        <v>2320</v>
      </c>
      <c r="OG228" s="168" t="s">
        <v>1894</v>
      </c>
      <c r="OH228" s="168" t="s">
        <v>765</v>
      </c>
      <c r="OI228" s="168" t="s">
        <v>766</v>
      </c>
      <c r="OJ228" s="168" t="s">
        <v>3240</v>
      </c>
      <c r="OK228" s="168" t="s">
        <v>778</v>
      </c>
    </row>
    <row r="229" spans="1:401" x14ac:dyDescent="0.2">
      <c r="A229" s="170" t="str">
        <f>Liste[[#This Row],[Siren]]</f>
        <v>501637144</v>
      </c>
      <c r="B229" s="198" t="str">
        <f>Liste[[#This Row],[Dénomination]]&amp;" - comptes "&amp;YEAR(Liste[[#This Row],[Date de cloture de l''exercice]])</f>
        <v>ALTIS + - comptes 2017</v>
      </c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168">
        <v>15282513</v>
      </c>
      <c r="BE229" s="168">
        <v>12431622</v>
      </c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168">
        <v>6261754</v>
      </c>
      <c r="BY229" s="168">
        <v>7127728</v>
      </c>
      <c r="BZ229" s="21"/>
      <c r="CA229" s="21"/>
      <c r="CB229" s="21"/>
      <c r="CC229" s="21"/>
      <c r="CD229" s="21"/>
      <c r="CE229" s="168">
        <v>1650000</v>
      </c>
      <c r="CF229" s="168">
        <v>1800000</v>
      </c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168">
        <v>7463403</v>
      </c>
      <c r="EM229" s="168">
        <v>7013579</v>
      </c>
      <c r="EN229" s="21"/>
      <c r="EO229" s="21"/>
      <c r="EP229" s="168">
        <v>35630304</v>
      </c>
      <c r="EQ229" s="168">
        <v>33107140</v>
      </c>
      <c r="ER229" s="21"/>
      <c r="ES229" s="21"/>
      <c r="ET229" s="168">
        <v>43093707</v>
      </c>
      <c r="EU229" s="168">
        <v>40120719</v>
      </c>
      <c r="EV229" s="21"/>
      <c r="EW229" s="21"/>
      <c r="EX229" s="21"/>
      <c r="EY229" s="21"/>
      <c r="EZ229" s="21"/>
      <c r="FA229" s="21"/>
      <c r="FB229" s="21"/>
      <c r="FC229" s="21"/>
      <c r="FD229" s="21"/>
      <c r="FE229" s="21"/>
      <c r="FF229" s="168">
        <v>3740697</v>
      </c>
      <c r="FG229" s="168">
        <v>3743073</v>
      </c>
      <c r="FH229" s="21"/>
      <c r="FI229" s="21"/>
      <c r="FJ229" s="21"/>
      <c r="FK229" s="21"/>
      <c r="FL229" s="21"/>
      <c r="FM229" s="21"/>
      <c r="FN229" s="21"/>
      <c r="FO229" s="21"/>
      <c r="FP229" s="21"/>
      <c r="FQ229" s="168">
        <v>-150000</v>
      </c>
      <c r="FR229" s="168">
        <v>-150000</v>
      </c>
      <c r="FS229" s="21"/>
      <c r="FT229" s="21"/>
      <c r="FU229" s="21"/>
      <c r="FV229" s="21"/>
      <c r="FW229" s="21"/>
      <c r="FX229" s="21"/>
      <c r="FY229" s="168">
        <v>-34428</v>
      </c>
      <c r="FZ229" s="168">
        <v>-21710</v>
      </c>
      <c r="GA229" s="21"/>
      <c r="GB229" s="21"/>
      <c r="GC229" s="21"/>
      <c r="GD229" s="21"/>
      <c r="GE229" s="21"/>
      <c r="GF229" s="21"/>
      <c r="GG229" s="21"/>
      <c r="GH229" s="21"/>
      <c r="GI229" s="21"/>
      <c r="GJ229" s="21"/>
      <c r="GK229" s="21"/>
      <c r="GL229" s="21"/>
      <c r="GM229" s="21"/>
      <c r="GN229" s="21"/>
      <c r="GO229" s="21"/>
      <c r="GP229" s="21"/>
      <c r="GQ229" s="21"/>
      <c r="GR229" s="21"/>
      <c r="GS229" s="168">
        <v>3258223</v>
      </c>
      <c r="GT229" s="168">
        <v>2244333</v>
      </c>
      <c r="GU229" s="21"/>
      <c r="GV229" s="21"/>
      <c r="GW229" s="21"/>
      <c r="GX229" s="21"/>
      <c r="GY229" s="21"/>
      <c r="GZ229" s="21"/>
      <c r="HA229" s="21"/>
      <c r="HB229" s="21"/>
      <c r="HC229" s="21"/>
      <c r="HD229" s="21"/>
      <c r="HE229" s="21"/>
      <c r="HF229" s="21"/>
      <c r="HG229" s="21"/>
      <c r="HH229" s="21"/>
      <c r="HI229" s="168">
        <v>2221729</v>
      </c>
      <c r="HJ229" s="168">
        <v>1477960</v>
      </c>
      <c r="HK229" s="21"/>
      <c r="HL229" s="21"/>
      <c r="HM229" s="21"/>
      <c r="HN229" s="21"/>
      <c r="HO229" s="21"/>
      <c r="HP229" s="21"/>
      <c r="HQ229" s="21"/>
      <c r="HR229" s="21"/>
      <c r="HS229" s="21"/>
      <c r="HT229" s="21"/>
      <c r="HU229" s="21"/>
      <c r="HV229" s="21"/>
      <c r="HW229" s="21"/>
      <c r="HX229" s="21"/>
      <c r="HY229" s="21"/>
      <c r="HZ229" s="21"/>
      <c r="IA229" s="21"/>
      <c r="IB229" s="21"/>
      <c r="IC229" s="21"/>
      <c r="ID229" s="21"/>
      <c r="IE229" s="168">
        <v>-1386191</v>
      </c>
      <c r="IF229" s="168">
        <v>-1298709</v>
      </c>
      <c r="IG229" s="21"/>
      <c r="IH229" s="21"/>
      <c r="II229" s="21"/>
      <c r="IJ229" s="21"/>
      <c r="IK229" s="21"/>
      <c r="IL229" s="21"/>
      <c r="IM229" s="21"/>
      <c r="IN229" s="21"/>
      <c r="IO229" s="21"/>
      <c r="IP229" s="21"/>
      <c r="IQ229" s="21"/>
      <c r="IR229" s="21"/>
      <c r="IS229" s="21"/>
      <c r="IT229" s="21"/>
      <c r="IU229" s="21"/>
      <c r="IV229" s="21"/>
      <c r="IW229" s="168">
        <v>4877483</v>
      </c>
      <c r="IX229" s="168">
        <v>3918614</v>
      </c>
      <c r="IY229" s="168">
        <v>-98266</v>
      </c>
      <c r="IZ229" s="168">
        <v>-123448</v>
      </c>
      <c r="JA229" s="21"/>
      <c r="JB229" s="21"/>
      <c r="JC229" s="21"/>
      <c r="JD229" s="21"/>
      <c r="JE229" s="168">
        <v>-25340732</v>
      </c>
      <c r="JF229" s="168">
        <v>-23700905</v>
      </c>
      <c r="JG229" s="21"/>
      <c r="JH229" s="21"/>
      <c r="JI229" s="168">
        <v>-69167732</v>
      </c>
      <c r="JJ229" s="168">
        <v>-66987069</v>
      </c>
      <c r="JK229" s="168">
        <v>-159355</v>
      </c>
      <c r="JL229" s="168">
        <v>-195220</v>
      </c>
      <c r="JM229" s="168">
        <v>74045216</v>
      </c>
      <c r="JN229" s="168">
        <v>70905683</v>
      </c>
      <c r="JO229" s="168">
        <v>61089</v>
      </c>
      <c r="JP229" s="168">
        <v>71772</v>
      </c>
      <c r="JQ229" s="21"/>
      <c r="JR229" s="21"/>
      <c r="JS229" s="21"/>
      <c r="JT229" s="21"/>
      <c r="JU229" s="21"/>
      <c r="JV229" s="21"/>
      <c r="JW229" s="168">
        <v>71823487</v>
      </c>
      <c r="JX229" s="168">
        <v>69427723</v>
      </c>
      <c r="JY229" s="21"/>
      <c r="JZ229" s="21"/>
      <c r="KA229" s="21"/>
      <c r="KB229" s="21"/>
      <c r="KC229" s="21"/>
      <c r="KD229" s="21"/>
      <c r="KE229" s="21"/>
      <c r="KF229" s="21"/>
      <c r="KG229" s="21"/>
      <c r="KH229" s="21"/>
      <c r="KI229" s="21"/>
      <c r="KJ229" s="21"/>
      <c r="KK229" s="21"/>
      <c r="KL229" s="21"/>
      <c r="KM229" s="21"/>
      <c r="KN229" s="21"/>
      <c r="KO229" s="21"/>
      <c r="KP229" s="21"/>
      <c r="KQ229" s="168">
        <v>15000763</v>
      </c>
      <c r="KR229" s="168">
        <v>14651740</v>
      </c>
      <c r="KS229" s="21"/>
      <c r="KT229" s="21"/>
      <c r="KU229" s="21"/>
      <c r="KV229" s="21"/>
      <c r="KW229" s="21"/>
      <c r="KX229" s="21"/>
      <c r="KY229" s="21"/>
      <c r="KZ229" s="21"/>
      <c r="LA229" s="168">
        <v>2866300</v>
      </c>
      <c r="LB229" s="168">
        <v>2866300</v>
      </c>
      <c r="LC229" s="21"/>
      <c r="LD229" s="21"/>
      <c r="LE229" s="21"/>
      <c r="LF229" s="21"/>
      <c r="LG229" s="21"/>
      <c r="LH229" s="21"/>
      <c r="LI229" s="21"/>
      <c r="LJ229" s="21"/>
      <c r="LK229" s="168">
        <v>5379370</v>
      </c>
      <c r="LL229" s="168">
        <v>5319862</v>
      </c>
      <c r="LM229" s="21"/>
      <c r="LN229" s="21"/>
      <c r="LO229" s="21"/>
      <c r="LP229" s="21"/>
      <c r="LQ229" s="21"/>
      <c r="LR229" s="21"/>
      <c r="LS229" s="21"/>
      <c r="LT229" s="21"/>
      <c r="LU229" s="21"/>
      <c r="LV229" s="21"/>
      <c r="LW229" s="21"/>
      <c r="LX229" s="21"/>
      <c r="LY229" s="21"/>
      <c r="LZ229" s="21"/>
      <c r="MA229" s="21"/>
      <c r="MB229" s="21"/>
      <c r="MC229" s="168">
        <v>8552185</v>
      </c>
      <c r="MD229" s="168">
        <v>8077366</v>
      </c>
      <c r="ME229" s="21"/>
      <c r="MF229" s="21"/>
      <c r="MG229" s="168">
        <v>4636</v>
      </c>
      <c r="MH229" s="168">
        <v>7179</v>
      </c>
      <c r="MI229" s="21"/>
      <c r="MJ229" s="21"/>
      <c r="MK229" s="21"/>
      <c r="ML229" s="21"/>
      <c r="MM229" s="21"/>
      <c r="MN229" s="21"/>
      <c r="MO229" s="21"/>
      <c r="MP229" s="21"/>
      <c r="MQ229" s="21"/>
      <c r="MR229" s="21"/>
      <c r="MS229" s="21"/>
      <c r="MT229" s="21"/>
      <c r="MU229" s="21"/>
      <c r="MV229" s="21"/>
      <c r="MW229" s="21"/>
      <c r="MX229" s="21"/>
      <c r="MY229" s="21"/>
      <c r="MZ229" s="21"/>
      <c r="NA229" s="21"/>
      <c r="NB229" s="21"/>
      <c r="NC229" s="168">
        <v>3258223</v>
      </c>
      <c r="ND229" s="168">
        <v>2244333</v>
      </c>
      <c r="NE229" s="21"/>
      <c r="NF229" s="21"/>
      <c r="NG229" s="168">
        <v>13517469</v>
      </c>
      <c r="NH229" s="168">
        <v>11280845</v>
      </c>
      <c r="NI229" s="21"/>
      <c r="NJ229" s="21"/>
      <c r="NK229" s="21"/>
      <c r="NL229" s="21"/>
      <c r="NM229" s="168">
        <v>28932318</v>
      </c>
      <c r="NN229" s="168">
        <v>28048968</v>
      </c>
      <c r="NO229" s="168">
        <v>43093707</v>
      </c>
      <c r="NP229" s="168">
        <v>40120719</v>
      </c>
      <c r="NQ229" s="168" t="s">
        <v>998</v>
      </c>
      <c r="NR229" s="168" t="s">
        <v>769</v>
      </c>
      <c r="NS229" s="168" t="s">
        <v>770</v>
      </c>
      <c r="NT229" s="168" t="s">
        <v>771</v>
      </c>
      <c r="NU229" s="168">
        <v>3302</v>
      </c>
      <c r="NV229" s="168" t="s">
        <v>2104</v>
      </c>
      <c r="NW229" s="168" t="s">
        <v>28</v>
      </c>
      <c r="NX229" s="168" t="s">
        <v>25</v>
      </c>
      <c r="NY229" s="169">
        <v>42825</v>
      </c>
      <c r="NZ229" s="169">
        <v>42460</v>
      </c>
      <c r="OA229" s="169">
        <v>43013</v>
      </c>
      <c r="OB229" s="168" t="s">
        <v>1134</v>
      </c>
      <c r="OC229" s="168">
        <v>12</v>
      </c>
      <c r="OD229" s="168" t="s">
        <v>2105</v>
      </c>
      <c r="OE229" s="168" t="s">
        <v>2321</v>
      </c>
      <c r="OF229" s="168" t="s">
        <v>2322</v>
      </c>
      <c r="OG229" s="168" t="s">
        <v>1895</v>
      </c>
      <c r="OH229" s="168" t="s">
        <v>931</v>
      </c>
      <c r="OI229" s="168" t="s">
        <v>766</v>
      </c>
      <c r="OJ229" s="168" t="s">
        <v>3240</v>
      </c>
      <c r="OK229" s="168" t="s">
        <v>767</v>
      </c>
    </row>
    <row r="230" spans="1:401" x14ac:dyDescent="0.2">
      <c r="A230" s="170" t="str">
        <f>Liste[[#This Row],[Siren]]</f>
        <v>814121513</v>
      </c>
      <c r="B230" s="198" t="str">
        <f>Liste[[#This Row],[Dénomination]]&amp;" - comptes "&amp;YEAR(Liste[[#This Row],[Date de cloture de l''exercice]])</f>
        <v>AZENN HOLDING DEVELOPPEMENT - comptes 2017</v>
      </c>
      <c r="C230" s="21"/>
      <c r="D230" s="21"/>
      <c r="E230" s="21"/>
      <c r="F230" s="168">
        <v>1672000</v>
      </c>
      <c r="G230" s="168">
        <v>1678000</v>
      </c>
      <c r="H230" s="168">
        <v>1672000</v>
      </c>
      <c r="I230" s="168">
        <v>1668000</v>
      </c>
      <c r="J230" s="168">
        <v>741000</v>
      </c>
      <c r="K230" s="168">
        <v>888000</v>
      </c>
      <c r="L230" s="168">
        <v>2409000</v>
      </c>
      <c r="M230" s="21"/>
      <c r="N230" s="168">
        <v>927000</v>
      </c>
      <c r="O230" s="168">
        <v>2249000</v>
      </c>
      <c r="P230" s="168">
        <v>927000</v>
      </c>
      <c r="Q230" s="21"/>
      <c r="R230" s="168">
        <v>196000</v>
      </c>
      <c r="S230" s="168">
        <v>67000</v>
      </c>
      <c r="T230" s="168">
        <v>196000</v>
      </c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168">
        <v>621000</v>
      </c>
      <c r="BA230" s="168">
        <v>634000</v>
      </c>
      <c r="BB230" s="168">
        <v>621000</v>
      </c>
      <c r="BC230" s="168">
        <v>275000</v>
      </c>
      <c r="BD230" s="168">
        <v>266000</v>
      </c>
      <c r="BE230" s="168">
        <v>15830000</v>
      </c>
      <c r="BF230" s="168">
        <v>541000</v>
      </c>
      <c r="BG230" s="168">
        <v>1449000</v>
      </c>
      <c r="BH230" s="168">
        <v>356000</v>
      </c>
      <c r="BI230" s="168">
        <v>362000</v>
      </c>
      <c r="BJ230" s="168">
        <v>1805000</v>
      </c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168">
        <v>6044000</v>
      </c>
      <c r="BY230" s="168">
        <v>7805000</v>
      </c>
      <c r="BZ230" s="168">
        <v>6044000</v>
      </c>
      <c r="CA230" s="21"/>
      <c r="CB230" s="21"/>
      <c r="CC230" s="21"/>
      <c r="CD230" s="168">
        <v>441000</v>
      </c>
      <c r="CE230" s="168">
        <v>4993000</v>
      </c>
      <c r="CF230" s="168">
        <v>5356000</v>
      </c>
      <c r="CG230" s="168">
        <v>5434000</v>
      </c>
      <c r="CH230" s="21"/>
      <c r="CI230" s="21"/>
      <c r="CJ230" s="21"/>
      <c r="CK230" s="21"/>
      <c r="CL230" s="21"/>
      <c r="CM230" s="21"/>
      <c r="CN230" s="21"/>
      <c r="CO230" s="21"/>
      <c r="CP230" s="168">
        <v>160000</v>
      </c>
      <c r="CQ230" s="168">
        <v>25000</v>
      </c>
      <c r="CR230" s="168">
        <v>185000</v>
      </c>
      <c r="CS230" s="168">
        <v>185000</v>
      </c>
      <c r="CT230" s="21"/>
      <c r="CU230" s="21"/>
      <c r="CV230" s="168">
        <v>84000</v>
      </c>
      <c r="CW230" s="21"/>
      <c r="CX230" s="21"/>
      <c r="CY230" s="21"/>
      <c r="CZ230" s="21"/>
      <c r="DA230" s="21"/>
      <c r="DB230" s="21"/>
      <c r="DC230" s="168">
        <v>9000</v>
      </c>
      <c r="DD230" s="21"/>
      <c r="DE230" s="168">
        <v>9000</v>
      </c>
      <c r="DF230" s="168">
        <v>648000</v>
      </c>
      <c r="DG230" s="168">
        <v>238000</v>
      </c>
      <c r="DH230" s="168">
        <v>236000</v>
      </c>
      <c r="DI230" s="168">
        <v>886000</v>
      </c>
      <c r="DJ230" s="168">
        <v>626000</v>
      </c>
      <c r="DK230" s="168">
        <v>4641000</v>
      </c>
      <c r="DL230" s="168">
        <v>5542000</v>
      </c>
      <c r="DM230" s="168">
        <v>5267000</v>
      </c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168">
        <v>49000</v>
      </c>
      <c r="EE230" s="168">
        <v>6000</v>
      </c>
      <c r="EF230" s="168">
        <v>49000</v>
      </c>
      <c r="EG230" s="21"/>
      <c r="EH230" s="21"/>
      <c r="EI230" s="21"/>
      <c r="EJ230" s="21"/>
      <c r="EK230" s="168">
        <v>4552000</v>
      </c>
      <c r="EL230" s="168">
        <v>7562000</v>
      </c>
      <c r="EM230" s="168">
        <v>9535000</v>
      </c>
      <c r="EN230" s="168">
        <v>12113000</v>
      </c>
      <c r="EO230" s="168">
        <v>901000</v>
      </c>
      <c r="EP230" s="168">
        <v>13026000</v>
      </c>
      <c r="EQ230" s="168">
        <v>31183000</v>
      </c>
      <c r="ER230" s="168">
        <v>13927000</v>
      </c>
      <c r="ES230" s="168">
        <v>5453000</v>
      </c>
      <c r="ET230" s="168">
        <v>21263000</v>
      </c>
      <c r="EU230" s="168">
        <v>41422000</v>
      </c>
      <c r="EV230" s="168">
        <v>26715000</v>
      </c>
      <c r="EW230" s="168">
        <v>177000</v>
      </c>
      <c r="EX230" s="168">
        <v>43000</v>
      </c>
      <c r="EY230" s="168">
        <v>75000</v>
      </c>
      <c r="EZ230" s="168">
        <v>220000</v>
      </c>
      <c r="FA230" s="21"/>
      <c r="FB230" s="21"/>
      <c r="FC230" s="21"/>
      <c r="FD230" s="21"/>
      <c r="FE230" s="21"/>
      <c r="FF230" s="21"/>
      <c r="FG230" s="21"/>
      <c r="FH230" s="21"/>
      <c r="FI230" s="168">
        <v>-486000</v>
      </c>
      <c r="FJ230" s="168">
        <v>-103000</v>
      </c>
      <c r="FK230" s="21"/>
      <c r="FL230" s="21"/>
      <c r="FM230" s="21"/>
      <c r="FN230" s="21"/>
      <c r="FO230" s="21"/>
      <c r="FP230" s="21"/>
      <c r="FQ230" s="168">
        <v>-362000</v>
      </c>
      <c r="FR230" s="168">
        <v>-78000</v>
      </c>
      <c r="FS230" s="21"/>
      <c r="FT230" s="21"/>
      <c r="FU230" s="168">
        <v>34000</v>
      </c>
      <c r="FV230" s="168">
        <v>9000</v>
      </c>
      <c r="FW230" s="168">
        <v>-175000</v>
      </c>
      <c r="FX230" s="168">
        <v>-120000</v>
      </c>
      <c r="FY230" s="21"/>
      <c r="FZ230" s="21"/>
      <c r="GA230" s="21"/>
      <c r="GB230" s="21"/>
      <c r="GC230" s="21"/>
      <c r="GD230" s="21"/>
      <c r="GE230" s="21"/>
      <c r="GF230" s="21"/>
      <c r="GG230" s="21"/>
      <c r="GH230" s="21"/>
      <c r="GI230" s="21"/>
      <c r="GJ230" s="21"/>
      <c r="GK230" s="21"/>
      <c r="GL230" s="21"/>
      <c r="GM230" s="168">
        <v>69000</v>
      </c>
      <c r="GN230" s="168">
        <v>-221000</v>
      </c>
      <c r="GO230" s="168">
        <v>431000</v>
      </c>
      <c r="GP230" s="168">
        <v>-143000</v>
      </c>
      <c r="GQ230" s="21"/>
      <c r="GR230" s="21"/>
      <c r="GS230" s="21"/>
      <c r="GT230" s="21"/>
      <c r="GU230" s="168">
        <v>-493000</v>
      </c>
      <c r="GV230" s="168">
        <v>-190000</v>
      </c>
      <c r="GW230" s="168">
        <v>7000</v>
      </c>
      <c r="GX230" s="168">
        <v>88000</v>
      </c>
      <c r="GY230" s="21"/>
      <c r="GZ230" s="168">
        <v>-9090000</v>
      </c>
      <c r="HA230" s="21"/>
      <c r="HB230" s="21"/>
      <c r="HC230" s="21"/>
      <c r="HD230" s="21"/>
      <c r="HE230" s="168">
        <v>-57000</v>
      </c>
      <c r="HF230" s="168">
        <v>-46000</v>
      </c>
      <c r="HG230" s="21"/>
      <c r="HH230" s="21"/>
      <c r="HI230" s="168">
        <v>36000</v>
      </c>
      <c r="HJ230" s="168">
        <v>15000</v>
      </c>
      <c r="HK230" s="21"/>
      <c r="HL230" s="21"/>
      <c r="HM230" s="21"/>
      <c r="HN230" s="21"/>
      <c r="HO230" s="168">
        <v>-2338000</v>
      </c>
      <c r="HP230" s="168">
        <v>-666000</v>
      </c>
      <c r="HQ230" s="21"/>
      <c r="HR230" s="21"/>
      <c r="HS230" s="21"/>
      <c r="HT230" s="21"/>
      <c r="HU230" s="21"/>
      <c r="HV230" s="21"/>
      <c r="HW230" s="21"/>
      <c r="HX230" s="21"/>
      <c r="HY230" s="21"/>
      <c r="HZ230" s="21"/>
      <c r="IA230" s="168">
        <v>-713000</v>
      </c>
      <c r="IB230" s="168">
        <v>96000</v>
      </c>
      <c r="IC230" s="21"/>
      <c r="ID230" s="21"/>
      <c r="IE230" s="168">
        <v>-865000</v>
      </c>
      <c r="IF230" s="168">
        <v>-204000</v>
      </c>
      <c r="IG230" s="21"/>
      <c r="IH230" s="21"/>
      <c r="II230" s="21"/>
      <c r="IJ230" s="21"/>
      <c r="IK230" s="21"/>
      <c r="IL230" s="21"/>
      <c r="IM230" s="168">
        <v>43000</v>
      </c>
      <c r="IN230" s="168">
        <v>-9000</v>
      </c>
      <c r="IO230" s="21"/>
      <c r="IP230" s="21"/>
      <c r="IQ230" s="21"/>
      <c r="IR230" s="21"/>
      <c r="IS230" s="21"/>
      <c r="IT230" s="21"/>
      <c r="IU230" s="168">
        <v>1059000</v>
      </c>
      <c r="IV230" s="168">
        <v>71000</v>
      </c>
      <c r="IW230" s="168">
        <v>1421000</v>
      </c>
      <c r="IX230" s="168">
        <v>311000</v>
      </c>
      <c r="IY230" s="168">
        <v>-362000</v>
      </c>
      <c r="IZ230" s="168">
        <v>-240000</v>
      </c>
      <c r="JA230" s="168">
        <v>621000</v>
      </c>
      <c r="JB230" s="21"/>
      <c r="JC230" s="21"/>
      <c r="JD230" s="21"/>
      <c r="JE230" s="21"/>
      <c r="JF230" s="21"/>
      <c r="JG230" s="21"/>
      <c r="JH230" s="21"/>
      <c r="JI230" s="168">
        <v>-48876000</v>
      </c>
      <c r="JJ230" s="168">
        <v>-15797000</v>
      </c>
      <c r="JK230" s="168">
        <v>-388000</v>
      </c>
      <c r="JL230" s="168">
        <v>-240000</v>
      </c>
      <c r="JM230" s="168">
        <v>50297000</v>
      </c>
      <c r="JN230" s="168">
        <v>16109000</v>
      </c>
      <c r="JO230" s="168">
        <v>27000</v>
      </c>
      <c r="JP230" s="21"/>
      <c r="JQ230" s="21"/>
      <c r="JR230" s="21"/>
      <c r="JS230" s="21"/>
      <c r="JT230" s="21"/>
      <c r="JU230" s="21"/>
      <c r="JV230" s="21"/>
      <c r="JW230" s="168">
        <v>49598000</v>
      </c>
      <c r="JX230" s="168">
        <v>63793000</v>
      </c>
      <c r="JY230" s="21"/>
      <c r="JZ230" s="21"/>
      <c r="KA230" s="21"/>
      <c r="KB230" s="21"/>
      <c r="KC230" s="21"/>
      <c r="KD230" s="21"/>
      <c r="KE230" s="168">
        <v>13363000</v>
      </c>
      <c r="KF230" s="168">
        <v>3706000</v>
      </c>
      <c r="KG230" s="21"/>
      <c r="KH230" s="21"/>
      <c r="KI230" s="168">
        <v>36235000</v>
      </c>
      <c r="KJ230" s="168">
        <v>12397000</v>
      </c>
      <c r="KK230" s="21"/>
      <c r="KL230" s="21"/>
      <c r="KM230" s="21"/>
      <c r="KN230" s="21"/>
      <c r="KO230" s="21"/>
      <c r="KP230" s="21"/>
      <c r="KQ230" s="168">
        <v>393000</v>
      </c>
      <c r="KR230" s="168">
        <v>14840000</v>
      </c>
      <c r="KS230" s="21"/>
      <c r="KT230" s="21"/>
      <c r="KU230" s="168">
        <v>1071000</v>
      </c>
      <c r="KV230" s="168">
        <v>1613000</v>
      </c>
      <c r="KW230" s="21"/>
      <c r="KX230" s="21"/>
      <c r="KY230" s="21"/>
      <c r="KZ230" s="21"/>
      <c r="LA230" s="168">
        <v>2996000</v>
      </c>
      <c r="LB230" s="168">
        <v>2996000</v>
      </c>
      <c r="LC230" s="21"/>
      <c r="LD230" s="21"/>
      <c r="LE230" s="21"/>
      <c r="LF230" s="21"/>
      <c r="LG230" s="21"/>
      <c r="LH230" s="21"/>
      <c r="LI230" s="168">
        <v>2343000</v>
      </c>
      <c r="LJ230" s="168">
        <v>2846000</v>
      </c>
      <c r="LK230" s="168">
        <v>6455000</v>
      </c>
      <c r="LL230" s="168">
        <v>10944000</v>
      </c>
      <c r="LM230" s="21"/>
      <c r="LN230" s="21"/>
      <c r="LO230" s="21"/>
      <c r="LP230" s="21"/>
      <c r="LQ230" s="21"/>
      <c r="LR230" s="21"/>
      <c r="LS230" s="21"/>
      <c r="LT230" s="21"/>
      <c r="LU230" s="21"/>
      <c r="LV230" s="21"/>
      <c r="LW230" s="21"/>
      <c r="LX230" s="21"/>
      <c r="LY230" s="21"/>
      <c r="LZ230" s="21"/>
      <c r="MA230" s="168">
        <v>4844000</v>
      </c>
      <c r="MB230" s="168">
        <v>5721000</v>
      </c>
      <c r="MC230" s="21"/>
      <c r="MD230" s="21"/>
      <c r="ME230" s="168">
        <v>1727000</v>
      </c>
      <c r="MF230" s="168">
        <v>1600000</v>
      </c>
      <c r="MG230" s="21"/>
      <c r="MH230" s="21"/>
      <c r="MI230" s="168">
        <v>319000</v>
      </c>
      <c r="MJ230" s="21"/>
      <c r="MK230" s="21"/>
      <c r="ML230" s="21"/>
      <c r="MM230" s="21"/>
      <c r="MN230" s="21"/>
      <c r="MO230" s="21"/>
      <c r="MP230" s="21"/>
      <c r="MQ230" s="21"/>
      <c r="MR230" s="21"/>
      <c r="MS230" s="21"/>
      <c r="MT230" s="21"/>
      <c r="MU230" s="168">
        <v>-81000</v>
      </c>
      <c r="MV230" s="21"/>
      <c r="MW230" s="21"/>
      <c r="MX230" s="21"/>
      <c r="MY230" s="21"/>
      <c r="MZ230" s="21"/>
      <c r="NA230" s="21"/>
      <c r="NB230" s="21"/>
      <c r="NC230" s="168">
        <v>69000</v>
      </c>
      <c r="ND230" s="168">
        <v>-220000</v>
      </c>
      <c r="NE230" s="21"/>
      <c r="NF230" s="21"/>
      <c r="NG230" s="168">
        <v>4374000</v>
      </c>
      <c r="NH230" s="168">
        <v>4389000</v>
      </c>
      <c r="NI230" s="21"/>
      <c r="NJ230" s="21"/>
      <c r="NK230" s="21"/>
      <c r="NL230" s="21"/>
      <c r="NM230" s="168">
        <v>15893000</v>
      </c>
      <c r="NN230" s="168">
        <v>36138000</v>
      </c>
      <c r="NO230" s="168">
        <v>21263000</v>
      </c>
      <c r="NP230" s="168">
        <v>41422000</v>
      </c>
      <c r="NQ230" s="168" t="s">
        <v>1135</v>
      </c>
      <c r="NR230" s="168" t="s">
        <v>769</v>
      </c>
      <c r="NS230" s="168" t="s">
        <v>770</v>
      </c>
      <c r="NT230" s="168" t="s">
        <v>771</v>
      </c>
      <c r="NU230" s="168">
        <v>3501</v>
      </c>
      <c r="NV230" s="168" t="s">
        <v>2104</v>
      </c>
      <c r="NW230" s="168" t="s">
        <v>28</v>
      </c>
      <c r="NX230" s="168" t="s">
        <v>25</v>
      </c>
      <c r="NY230" s="169">
        <v>42825</v>
      </c>
      <c r="NZ230" s="169">
        <v>42460</v>
      </c>
      <c r="OA230" s="169">
        <v>43018</v>
      </c>
      <c r="OB230" s="168" t="s">
        <v>1136</v>
      </c>
      <c r="OC230" s="168">
        <v>12</v>
      </c>
      <c r="OD230" s="168" t="s">
        <v>2105</v>
      </c>
      <c r="OE230" s="168" t="s">
        <v>2323</v>
      </c>
      <c r="OF230" s="168" t="s">
        <v>2324</v>
      </c>
      <c r="OG230" s="168" t="s">
        <v>1896</v>
      </c>
      <c r="OH230" s="168" t="s">
        <v>834</v>
      </c>
      <c r="OI230" s="168" t="s">
        <v>766</v>
      </c>
      <c r="OJ230" s="168" t="s">
        <v>3240</v>
      </c>
      <c r="OK230" s="168" t="s">
        <v>767</v>
      </c>
    </row>
    <row r="231" spans="1:401" x14ac:dyDescent="0.2">
      <c r="A231" s="170" t="str">
        <f>Liste[[#This Row],[Siren]]</f>
        <v>775606874</v>
      </c>
      <c r="B231" s="198" t="str">
        <f>Liste[[#This Row],[Dénomination]]&amp;" - comptes "&amp;YEAR(Liste[[#This Row],[Date de cloture de l''exercice]])</f>
        <v>ARYS HOLDING - comptes 2017</v>
      </c>
      <c r="C231" s="21"/>
      <c r="D231" s="21"/>
      <c r="E231" s="21"/>
      <c r="F231" s="168">
        <v>1534000</v>
      </c>
      <c r="G231" s="168">
        <v>1358000</v>
      </c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168">
        <v>2703000</v>
      </c>
      <c r="BE231" s="168">
        <v>2469000</v>
      </c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168">
        <v>4230000</v>
      </c>
      <c r="BY231" s="168">
        <v>1871000</v>
      </c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168">
        <v>4689000</v>
      </c>
      <c r="EM231" s="168">
        <v>5044000</v>
      </c>
      <c r="EN231" s="21"/>
      <c r="EO231" s="21"/>
      <c r="EP231" s="168">
        <v>12676000</v>
      </c>
      <c r="EQ231" s="168">
        <v>11650000</v>
      </c>
      <c r="ER231" s="21"/>
      <c r="ES231" s="21"/>
      <c r="ET231" s="168">
        <v>17365000</v>
      </c>
      <c r="EU231" s="168">
        <v>16694000</v>
      </c>
      <c r="EV231" s="21"/>
      <c r="EW231" s="21"/>
      <c r="EX231" s="21"/>
      <c r="EY231" s="21"/>
      <c r="EZ231" s="21"/>
      <c r="FA231" s="21"/>
      <c r="FB231" s="21"/>
      <c r="FC231" s="21"/>
      <c r="FD231" s="21"/>
      <c r="FE231" s="21"/>
      <c r="FF231" s="168">
        <v>1429000</v>
      </c>
      <c r="FG231" s="168">
        <v>3232000</v>
      </c>
      <c r="FH231" s="21"/>
      <c r="FI231" s="168">
        <v>-51000</v>
      </c>
      <c r="FJ231" s="168">
        <v>-304000</v>
      </c>
      <c r="FK231" s="168">
        <v>1001000</v>
      </c>
      <c r="FL231" s="168">
        <v>-120000</v>
      </c>
      <c r="FM231" s="21"/>
      <c r="FN231" s="21"/>
      <c r="FO231" s="21"/>
      <c r="FP231" s="21"/>
      <c r="FQ231" s="21"/>
      <c r="FR231" s="21"/>
      <c r="FS231" s="21"/>
      <c r="FT231" s="21"/>
      <c r="FU231" s="21"/>
      <c r="FV231" s="21"/>
      <c r="FW231" s="168">
        <v>-347000</v>
      </c>
      <c r="FX231" s="168">
        <v>-89000</v>
      </c>
      <c r="FY231" s="21"/>
      <c r="FZ231" s="168">
        <v>-4000</v>
      </c>
      <c r="GA231" s="21"/>
      <c r="GB231" s="21"/>
      <c r="GC231" s="21"/>
      <c r="GD231" s="21"/>
      <c r="GE231" s="21"/>
      <c r="GF231" s="21"/>
      <c r="GG231" s="21"/>
      <c r="GH231" s="21"/>
      <c r="GI231" s="21"/>
      <c r="GJ231" s="21"/>
      <c r="GK231" s="21"/>
      <c r="GL231" s="21"/>
      <c r="GM231" s="168">
        <v>1001000</v>
      </c>
      <c r="GN231" s="168">
        <v>-120000</v>
      </c>
      <c r="GO231" s="21"/>
      <c r="GP231" s="21"/>
      <c r="GQ231" s="21"/>
      <c r="GR231" s="21"/>
      <c r="GS231" s="168">
        <v>1001000</v>
      </c>
      <c r="GT231" s="168">
        <v>-117000</v>
      </c>
      <c r="GU231" s="21"/>
      <c r="GV231" s="21"/>
      <c r="GW231" s="21"/>
      <c r="GX231" s="21"/>
      <c r="GY231" s="21"/>
      <c r="GZ231" s="21"/>
      <c r="HA231" s="21"/>
      <c r="HB231" s="21"/>
      <c r="HC231" s="21"/>
      <c r="HD231" s="21"/>
      <c r="HE231" s="21"/>
      <c r="HF231" s="21"/>
      <c r="HG231" s="21"/>
      <c r="HH231" s="21"/>
      <c r="HI231" s="168">
        <v>267000</v>
      </c>
      <c r="HJ231" s="168">
        <v>570000</v>
      </c>
      <c r="HK231" s="21"/>
      <c r="HL231" s="21"/>
      <c r="HM231" s="21"/>
      <c r="HN231" s="21"/>
      <c r="HO231" s="21"/>
      <c r="HP231" s="21"/>
      <c r="HQ231" s="21"/>
      <c r="HR231" s="21"/>
      <c r="HS231" s="21"/>
      <c r="HT231" s="21"/>
      <c r="HU231" s="21"/>
      <c r="HV231" s="21"/>
      <c r="HW231" s="21"/>
      <c r="HX231" s="21"/>
      <c r="HY231" s="21"/>
      <c r="HZ231" s="21"/>
      <c r="IA231" s="21"/>
      <c r="IB231" s="21"/>
      <c r="IC231" s="21"/>
      <c r="ID231" s="21"/>
      <c r="IE231" s="168">
        <v>-352000</v>
      </c>
      <c r="IF231" s="168">
        <v>-375000</v>
      </c>
      <c r="IG231" s="21"/>
      <c r="IH231" s="21"/>
      <c r="II231" s="21"/>
      <c r="IJ231" s="21"/>
      <c r="IK231" s="21"/>
      <c r="IL231" s="21"/>
      <c r="IM231" s="21"/>
      <c r="IN231" s="21"/>
      <c r="IO231" s="21"/>
      <c r="IP231" s="21"/>
      <c r="IQ231" s="21"/>
      <c r="IR231" s="21"/>
      <c r="IS231" s="21"/>
      <c r="IT231" s="21"/>
      <c r="IU231" s="168">
        <v>1400000</v>
      </c>
      <c r="IV231" s="168">
        <v>273000</v>
      </c>
      <c r="IW231" s="168">
        <v>1480000</v>
      </c>
      <c r="IX231" s="168">
        <v>453000</v>
      </c>
      <c r="IY231" s="168">
        <v>-80000</v>
      </c>
      <c r="IZ231" s="168">
        <v>-181000</v>
      </c>
      <c r="JA231" s="21"/>
      <c r="JB231" s="21"/>
      <c r="JC231" s="21"/>
      <c r="JD231" s="21"/>
      <c r="JE231" s="21"/>
      <c r="JF231" s="21"/>
      <c r="JG231" s="21"/>
      <c r="JH231" s="21"/>
      <c r="JI231" s="21"/>
      <c r="JJ231" s="21"/>
      <c r="JK231" s="21"/>
      <c r="JL231" s="21"/>
      <c r="JM231" s="21"/>
      <c r="JN231" s="21"/>
      <c r="JO231" s="21"/>
      <c r="JP231" s="21"/>
      <c r="JQ231" s="21"/>
      <c r="JR231" s="21"/>
      <c r="JS231" s="21"/>
      <c r="JT231" s="21"/>
      <c r="JU231" s="21"/>
      <c r="JV231" s="21"/>
      <c r="JW231" s="168">
        <v>20759000</v>
      </c>
      <c r="JX231" s="168">
        <v>18982000</v>
      </c>
      <c r="JY231" s="21"/>
      <c r="JZ231" s="21"/>
      <c r="KA231" s="21"/>
      <c r="KB231" s="21"/>
      <c r="KC231" s="21"/>
      <c r="KD231" s="21"/>
      <c r="KE231" s="21"/>
      <c r="KF231" s="21"/>
      <c r="KG231" s="21"/>
      <c r="KH231" s="21"/>
      <c r="KI231" s="21"/>
      <c r="KJ231" s="21"/>
      <c r="KK231" s="21"/>
      <c r="KL231" s="21"/>
      <c r="KM231" s="21"/>
      <c r="KN231" s="21"/>
      <c r="KO231" s="21"/>
      <c r="KP231" s="21"/>
      <c r="KQ231" s="168">
        <v>1935000</v>
      </c>
      <c r="KR231" s="168">
        <v>2053000</v>
      </c>
      <c r="KS231" s="21"/>
      <c r="KT231" s="21"/>
      <c r="KU231" s="21"/>
      <c r="KV231" s="21"/>
      <c r="KW231" s="21"/>
      <c r="KX231" s="21"/>
      <c r="KY231" s="21"/>
      <c r="KZ231" s="21"/>
      <c r="LA231" s="168">
        <v>549000</v>
      </c>
      <c r="LB231" s="168">
        <v>549000</v>
      </c>
      <c r="LC231" s="21"/>
      <c r="LD231" s="21"/>
      <c r="LE231" s="21"/>
      <c r="LF231" s="21"/>
      <c r="LG231" s="21"/>
      <c r="LH231" s="21"/>
      <c r="LI231" s="21"/>
      <c r="LJ231" s="21"/>
      <c r="LK231" s="168">
        <v>1406000</v>
      </c>
      <c r="LL231" s="168">
        <v>943000</v>
      </c>
      <c r="LM231" s="21"/>
      <c r="LN231" s="21"/>
      <c r="LO231" s="21"/>
      <c r="LP231" s="21"/>
      <c r="LQ231" s="21"/>
      <c r="LR231" s="21"/>
      <c r="LS231" s="21"/>
      <c r="LT231" s="21"/>
      <c r="LU231" s="168">
        <v>-87000</v>
      </c>
      <c r="LV231" s="168">
        <v>-108000</v>
      </c>
      <c r="LW231" s="21"/>
      <c r="LX231" s="21"/>
      <c r="LY231" s="21"/>
      <c r="LZ231" s="21"/>
      <c r="MA231" s="21"/>
      <c r="MB231" s="21"/>
      <c r="MC231" s="168">
        <v>3630000</v>
      </c>
      <c r="MD231" s="168">
        <v>4288000</v>
      </c>
      <c r="ME231" s="21"/>
      <c r="MF231" s="21"/>
      <c r="MG231" s="21"/>
      <c r="MH231" s="21"/>
      <c r="MI231" s="21"/>
      <c r="MJ231" s="21"/>
      <c r="MK231" s="21"/>
      <c r="ML231" s="21"/>
      <c r="MM231" s="21"/>
      <c r="MN231" s="21"/>
      <c r="MO231" s="21"/>
      <c r="MP231" s="21"/>
      <c r="MQ231" s="21"/>
      <c r="MR231" s="21"/>
      <c r="MS231" s="21"/>
      <c r="MT231" s="21"/>
      <c r="MU231" s="21"/>
      <c r="MV231" s="21"/>
      <c r="MW231" s="21"/>
      <c r="MX231" s="21"/>
      <c r="MY231" s="21"/>
      <c r="MZ231" s="21"/>
      <c r="NA231" s="21"/>
      <c r="NB231" s="21"/>
      <c r="NC231" s="168">
        <v>1001000</v>
      </c>
      <c r="ND231" s="168">
        <v>-117000</v>
      </c>
      <c r="NE231" s="21"/>
      <c r="NF231" s="21"/>
      <c r="NG231" s="168">
        <v>10021000</v>
      </c>
      <c r="NH231" s="168">
        <v>9099000</v>
      </c>
      <c r="NI231" s="21"/>
      <c r="NJ231" s="21"/>
      <c r="NK231" s="168">
        <v>15000</v>
      </c>
      <c r="NL231" s="168">
        <v>15000</v>
      </c>
      <c r="NM231" s="168">
        <v>6971000</v>
      </c>
      <c r="NN231" s="168">
        <v>7284000</v>
      </c>
      <c r="NO231" s="168">
        <v>17365000</v>
      </c>
      <c r="NP231" s="168">
        <v>16694000</v>
      </c>
      <c r="NQ231" s="168" t="s">
        <v>1119</v>
      </c>
      <c r="NR231" s="168" t="s">
        <v>802</v>
      </c>
      <c r="NS231" s="168" t="s">
        <v>770</v>
      </c>
      <c r="NT231" s="168" t="s">
        <v>771</v>
      </c>
      <c r="NU231" s="168">
        <v>4502</v>
      </c>
      <c r="NV231" s="168" t="s">
        <v>2104</v>
      </c>
      <c r="NW231" s="168" t="s">
        <v>28</v>
      </c>
      <c r="NX231" s="168" t="s">
        <v>25</v>
      </c>
      <c r="NY231" s="169">
        <v>42825</v>
      </c>
      <c r="NZ231" s="169">
        <v>42460</v>
      </c>
      <c r="OA231" s="169">
        <v>43068</v>
      </c>
      <c r="OB231" s="168" t="s">
        <v>1120</v>
      </c>
      <c r="OC231" s="168">
        <v>12</v>
      </c>
      <c r="OD231" s="168" t="s">
        <v>2105</v>
      </c>
      <c r="OE231" s="168" t="s">
        <v>2306</v>
      </c>
      <c r="OF231" s="168" t="s">
        <v>2307</v>
      </c>
      <c r="OG231" s="168" t="s">
        <v>1887</v>
      </c>
      <c r="OH231" s="168" t="s">
        <v>838</v>
      </c>
      <c r="OI231" s="168" t="s">
        <v>766</v>
      </c>
      <c r="OJ231" s="168" t="s">
        <v>3240</v>
      </c>
      <c r="OK231" s="168" t="s">
        <v>801</v>
      </c>
    </row>
    <row r="232" spans="1:401" x14ac:dyDescent="0.2">
      <c r="A232" s="170" t="str">
        <f>Liste[[#This Row],[Siren]]</f>
        <v>424348373</v>
      </c>
      <c r="B232" s="198" t="str">
        <f>Liste[[#This Row],[Dénomination]]&amp;" - comptes "&amp;YEAR(Liste[[#This Row],[Date de cloture de l''exercice]])</f>
        <v>SERAC HOLDING - comptes 2017</v>
      </c>
      <c r="C232" s="21"/>
      <c r="D232" s="21"/>
      <c r="E232" s="21"/>
      <c r="F232" s="168">
        <v>11937059</v>
      </c>
      <c r="G232" s="168">
        <v>8371554</v>
      </c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168">
        <v>964011</v>
      </c>
      <c r="BA232" s="168">
        <v>721091</v>
      </c>
      <c r="BB232" s="21"/>
      <c r="BC232" s="21"/>
      <c r="BD232" s="168">
        <v>33606496</v>
      </c>
      <c r="BE232" s="168">
        <v>32994740</v>
      </c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168">
        <v>9237482</v>
      </c>
      <c r="BY232" s="168">
        <v>5886817</v>
      </c>
      <c r="BZ232" s="21"/>
      <c r="CA232" s="21"/>
      <c r="CB232" s="21"/>
      <c r="CC232" s="21"/>
      <c r="CD232" s="21"/>
      <c r="CE232" s="168">
        <v>2833739</v>
      </c>
      <c r="CF232" s="168">
        <v>2993578</v>
      </c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168">
        <v>9371941</v>
      </c>
      <c r="EM232" s="168">
        <v>7997560</v>
      </c>
      <c r="EN232" s="21"/>
      <c r="EO232" s="21"/>
      <c r="EP232" s="168">
        <v>93724580</v>
      </c>
      <c r="EQ232" s="168">
        <v>67177771</v>
      </c>
      <c r="ER232" s="21"/>
      <c r="ES232" s="21"/>
      <c r="ET232" s="168">
        <v>106894271</v>
      </c>
      <c r="EU232" s="168">
        <v>78890000</v>
      </c>
      <c r="EV232" s="21"/>
      <c r="EW232" s="21"/>
      <c r="EX232" s="21"/>
      <c r="EY232" s="21"/>
      <c r="EZ232" s="21"/>
      <c r="FA232" s="21"/>
      <c r="FB232" s="21"/>
      <c r="FC232" s="21"/>
      <c r="FD232" s="21"/>
      <c r="FE232" s="21"/>
      <c r="FF232" s="168">
        <v>11696518</v>
      </c>
      <c r="FG232" s="168">
        <v>1003781</v>
      </c>
      <c r="FH232" s="21"/>
      <c r="FI232" s="168">
        <v>-51118</v>
      </c>
      <c r="FJ232" s="168">
        <v>-58876</v>
      </c>
      <c r="FK232" s="168">
        <v>-2759781</v>
      </c>
      <c r="FL232" s="168">
        <v>931172</v>
      </c>
      <c r="FM232" s="21"/>
      <c r="FN232" s="21"/>
      <c r="FO232" s="21"/>
      <c r="FP232" s="21"/>
      <c r="FQ232" s="168">
        <v>505898</v>
      </c>
      <c r="FR232" s="168">
        <v>505898</v>
      </c>
      <c r="FS232" s="21"/>
      <c r="FT232" s="21"/>
      <c r="FU232" s="21"/>
      <c r="FV232" s="21"/>
      <c r="FW232" s="168">
        <v>-380026</v>
      </c>
      <c r="FX232" s="168">
        <v>827876</v>
      </c>
      <c r="FY232" s="168">
        <v>16440</v>
      </c>
      <c r="FZ232" s="168">
        <v>-48353</v>
      </c>
      <c r="GA232" s="21"/>
      <c r="GB232" s="21"/>
      <c r="GC232" s="21"/>
      <c r="GD232" s="21"/>
      <c r="GE232" s="21"/>
      <c r="GF232" s="21"/>
      <c r="GG232" s="21"/>
      <c r="GH232" s="21"/>
      <c r="GI232" s="21"/>
      <c r="GJ232" s="21"/>
      <c r="GK232" s="21"/>
      <c r="GL232" s="21"/>
      <c r="GM232" s="168">
        <v>-3282119</v>
      </c>
      <c r="GN232" s="168">
        <v>473627</v>
      </c>
      <c r="GO232" s="21"/>
      <c r="GP232" s="21"/>
      <c r="GQ232" s="21"/>
      <c r="GR232" s="21"/>
      <c r="GS232" s="21"/>
      <c r="GT232" s="21"/>
      <c r="GU232" s="168">
        <v>225327</v>
      </c>
      <c r="GV232" s="168">
        <v>290968</v>
      </c>
      <c r="GW232" s="168">
        <v>174209</v>
      </c>
      <c r="GX232" s="168">
        <v>232092</v>
      </c>
      <c r="GY232" s="21"/>
      <c r="GZ232" s="21"/>
      <c r="HA232" s="21"/>
      <c r="HB232" s="21"/>
      <c r="HC232" s="168">
        <v>36214641</v>
      </c>
      <c r="HD232" s="168">
        <v>27552293</v>
      </c>
      <c r="HE232" s="21"/>
      <c r="HF232" s="21"/>
      <c r="HG232" s="21"/>
      <c r="HH232" s="21"/>
      <c r="HI232" s="168">
        <v>953829</v>
      </c>
      <c r="HJ232" s="168">
        <v>943625</v>
      </c>
      <c r="HK232" s="21"/>
      <c r="HL232" s="21"/>
      <c r="HM232" s="21"/>
      <c r="HN232" s="21"/>
      <c r="HO232" s="21"/>
      <c r="HP232" s="21"/>
      <c r="HQ232" s="21"/>
      <c r="HR232" s="21"/>
      <c r="HS232" s="21"/>
      <c r="HT232" s="21"/>
      <c r="HU232" s="168">
        <v>1314159</v>
      </c>
      <c r="HV232" s="168">
        <v>1050339</v>
      </c>
      <c r="HW232" s="21"/>
      <c r="HX232" s="21"/>
      <c r="HY232" s="168">
        <v>2232252</v>
      </c>
      <c r="HZ232" s="168">
        <v>1751331</v>
      </c>
      <c r="IA232" s="21"/>
      <c r="IB232" s="21"/>
      <c r="IC232" s="21"/>
      <c r="ID232" s="21"/>
      <c r="IE232" s="168">
        <v>1088873</v>
      </c>
      <c r="IF232" s="168">
        <v>1367911</v>
      </c>
      <c r="IG232" s="21"/>
      <c r="IH232" s="21"/>
      <c r="II232" s="21"/>
      <c r="IJ232" s="21"/>
      <c r="IK232" s="21"/>
      <c r="IL232" s="21"/>
      <c r="IM232" s="168">
        <v>5482720</v>
      </c>
      <c r="IN232" s="168">
        <v>1978403</v>
      </c>
      <c r="IO232" s="21"/>
      <c r="IP232" s="21"/>
      <c r="IQ232" s="21"/>
      <c r="IR232" s="21"/>
      <c r="IS232" s="21"/>
      <c r="IT232" s="21"/>
      <c r="IU232" s="168">
        <v>-3088689</v>
      </c>
      <c r="IV232" s="168">
        <v>1817924</v>
      </c>
      <c r="IW232" s="168">
        <v>-3453942</v>
      </c>
      <c r="IX232" s="168">
        <v>2666445</v>
      </c>
      <c r="IY232" s="168">
        <v>365253</v>
      </c>
      <c r="IZ232" s="168">
        <v>-848521</v>
      </c>
      <c r="JA232" s="168">
        <v>4057049</v>
      </c>
      <c r="JB232" s="168">
        <v>2591741</v>
      </c>
      <c r="JC232" s="21"/>
      <c r="JD232" s="21"/>
      <c r="JE232" s="21"/>
      <c r="JF232" s="21"/>
      <c r="JG232" s="168">
        <v>58619</v>
      </c>
      <c r="JH232" s="168">
        <v>8876</v>
      </c>
      <c r="JI232" s="168">
        <v>137263823</v>
      </c>
      <c r="JJ232" s="168">
        <v>120104662</v>
      </c>
      <c r="JK232" s="168">
        <v>721725</v>
      </c>
      <c r="JL232" s="168">
        <v>2213910</v>
      </c>
      <c r="JM232" s="168">
        <v>10552217</v>
      </c>
      <c r="JN232" s="168">
        <v>5522645</v>
      </c>
      <c r="JO232" s="168">
        <v>1086978</v>
      </c>
      <c r="JP232" s="168">
        <v>1365389</v>
      </c>
      <c r="JQ232" s="168">
        <v>54577656</v>
      </c>
      <c r="JR232" s="168">
        <v>50265289</v>
      </c>
      <c r="JS232" s="21"/>
      <c r="JT232" s="21"/>
      <c r="JU232" s="21"/>
      <c r="JV232" s="21"/>
      <c r="JW232" s="168">
        <v>123257664</v>
      </c>
      <c r="JX232" s="168">
        <v>117248462</v>
      </c>
      <c r="JY232" s="21"/>
      <c r="JZ232" s="21"/>
      <c r="KA232" s="21"/>
      <c r="KB232" s="21"/>
      <c r="KC232" s="21"/>
      <c r="KD232" s="21"/>
      <c r="KE232" s="21"/>
      <c r="KF232" s="21"/>
      <c r="KG232" s="21"/>
      <c r="KH232" s="21"/>
      <c r="KI232" s="168">
        <v>5851752</v>
      </c>
      <c r="KJ232" s="168">
        <v>15732318</v>
      </c>
      <c r="KK232" s="21"/>
      <c r="KL232" s="21"/>
      <c r="KM232" s="21"/>
      <c r="KN232" s="21"/>
      <c r="KO232" s="21"/>
      <c r="KP232" s="21"/>
      <c r="KQ232" s="168">
        <v>1735741</v>
      </c>
      <c r="KR232" s="168">
        <v>3391194</v>
      </c>
      <c r="KS232" s="21"/>
      <c r="KT232" s="21"/>
      <c r="KU232" s="21"/>
      <c r="KV232" s="21"/>
      <c r="KW232" s="21"/>
      <c r="KX232" s="21"/>
      <c r="KY232" s="21"/>
      <c r="KZ232" s="21"/>
      <c r="LA232" s="168">
        <v>7034193</v>
      </c>
      <c r="LB232" s="168">
        <v>7034193</v>
      </c>
      <c r="LC232" s="21"/>
      <c r="LD232" s="21"/>
      <c r="LE232" s="21"/>
      <c r="LF232" s="21"/>
      <c r="LG232" s="21"/>
      <c r="LH232" s="21"/>
      <c r="LI232" s="168">
        <v>8682025</v>
      </c>
      <c r="LJ232" s="168">
        <v>9510451</v>
      </c>
      <c r="LK232" s="168">
        <v>51212365</v>
      </c>
      <c r="LL232" s="168">
        <v>30362860</v>
      </c>
      <c r="LM232" s="168">
        <v>600367</v>
      </c>
      <c r="LN232" s="168">
        <v>1245146</v>
      </c>
      <c r="LO232" s="21"/>
      <c r="LP232" s="21"/>
      <c r="LQ232" s="21"/>
      <c r="LR232" s="21"/>
      <c r="LS232" s="21"/>
      <c r="LT232" s="21"/>
      <c r="LU232" s="21"/>
      <c r="LV232" s="21"/>
      <c r="LW232" s="21"/>
      <c r="LX232" s="21"/>
      <c r="LY232" s="21"/>
      <c r="LZ232" s="21"/>
      <c r="MA232" s="21"/>
      <c r="MB232" s="21"/>
      <c r="MC232" s="168">
        <v>23314157</v>
      </c>
      <c r="MD232" s="168">
        <v>12153542</v>
      </c>
      <c r="ME232" s="21"/>
      <c r="MF232" s="21"/>
      <c r="MG232" s="21"/>
      <c r="MH232" s="21"/>
      <c r="MI232" s="21"/>
      <c r="MJ232" s="21"/>
      <c r="MK232" s="21"/>
      <c r="ML232" s="21"/>
      <c r="MM232" s="168">
        <v>4967449</v>
      </c>
      <c r="MN232" s="168">
        <v>2947323</v>
      </c>
      <c r="MO232" s="21"/>
      <c r="MP232" s="21"/>
      <c r="MQ232" s="21"/>
      <c r="MR232" s="21"/>
      <c r="MS232" s="21"/>
      <c r="MT232" s="21"/>
      <c r="MU232" s="21"/>
      <c r="MV232" s="21"/>
      <c r="MW232" s="168">
        <v>9204972</v>
      </c>
      <c r="MX232" s="168">
        <v>8917207</v>
      </c>
      <c r="MY232" s="21"/>
      <c r="MZ232" s="168">
        <v>-1</v>
      </c>
      <c r="NA232" s="21"/>
      <c r="NB232" s="21"/>
      <c r="NC232" s="168">
        <v>-3282119</v>
      </c>
      <c r="ND232" s="168">
        <v>8917207</v>
      </c>
      <c r="NE232" s="21"/>
      <c r="NF232" s="21"/>
      <c r="NG232" s="168">
        <v>12957046</v>
      </c>
      <c r="NH232" s="168">
        <v>16425026</v>
      </c>
      <c r="NI232" s="168">
        <v>296017</v>
      </c>
      <c r="NJ232" s="168">
        <v>565920</v>
      </c>
      <c r="NK232" s="168">
        <v>95609</v>
      </c>
      <c r="NL232" s="168">
        <v>67075</v>
      </c>
      <c r="NM232" s="168">
        <v>85544655</v>
      </c>
      <c r="NN232" s="168">
        <v>56663193</v>
      </c>
      <c r="NO232" s="168">
        <v>106894271</v>
      </c>
      <c r="NP232" s="168">
        <v>78890000</v>
      </c>
      <c r="NQ232" s="168" t="s">
        <v>1116</v>
      </c>
      <c r="NR232" s="168" t="s">
        <v>769</v>
      </c>
      <c r="NS232" s="168" t="s">
        <v>770</v>
      </c>
      <c r="NT232" s="168" t="s">
        <v>771</v>
      </c>
      <c r="NU232" s="168">
        <v>7202</v>
      </c>
      <c r="NV232" s="168" t="s">
        <v>2104</v>
      </c>
      <c r="NW232" s="168" t="s">
        <v>28</v>
      </c>
      <c r="NX232" s="168" t="s">
        <v>25</v>
      </c>
      <c r="NY232" s="169">
        <v>42825</v>
      </c>
      <c r="NZ232" s="169">
        <v>42460</v>
      </c>
      <c r="OA232" s="169">
        <v>43060</v>
      </c>
      <c r="OB232" s="168" t="s">
        <v>1117</v>
      </c>
      <c r="OC232" s="168">
        <v>12</v>
      </c>
      <c r="OD232" s="168" t="s">
        <v>2105</v>
      </c>
      <c r="OE232" s="168" t="s">
        <v>2303</v>
      </c>
      <c r="OF232" s="168" t="s">
        <v>2304</v>
      </c>
      <c r="OG232" s="168" t="s">
        <v>1885</v>
      </c>
      <c r="OH232" s="168" t="s">
        <v>1037</v>
      </c>
      <c r="OI232" s="168" t="s">
        <v>766</v>
      </c>
      <c r="OJ232" s="168" t="s">
        <v>3240</v>
      </c>
      <c r="OK232" s="168" t="s">
        <v>767</v>
      </c>
    </row>
    <row r="233" spans="1:401" x14ac:dyDescent="0.2">
      <c r="A233" s="170" t="str">
        <f>Liste[[#This Row],[Siren]]</f>
        <v>505328542</v>
      </c>
      <c r="B233" s="198" t="str">
        <f>Liste[[#This Row],[Dénomination]]&amp;" - comptes "&amp;YEAR(Liste[[#This Row],[Date de cloture de l''exercice]])</f>
        <v>CHAVANNES FINANCE - comptes 2017</v>
      </c>
      <c r="C233" s="21"/>
      <c r="D233" s="21"/>
      <c r="E233" s="21"/>
      <c r="F233" s="168">
        <v>2254000</v>
      </c>
      <c r="G233" s="168">
        <v>1666000</v>
      </c>
      <c r="H233" s="168">
        <v>2254000</v>
      </c>
      <c r="I233" s="168">
        <v>2101000</v>
      </c>
      <c r="J233" s="168">
        <v>1183000</v>
      </c>
      <c r="K233" s="168">
        <v>1098000</v>
      </c>
      <c r="L233" s="168">
        <v>3284000</v>
      </c>
      <c r="M233" s="21"/>
      <c r="N233" s="168">
        <v>479000</v>
      </c>
      <c r="O233" s="168">
        <v>363000</v>
      </c>
      <c r="P233" s="168">
        <v>479000</v>
      </c>
      <c r="Q233" s="21"/>
      <c r="R233" s="21"/>
      <c r="S233" s="21"/>
      <c r="T233" s="21"/>
      <c r="U233" s="21"/>
      <c r="V233" s="168">
        <v>36000</v>
      </c>
      <c r="W233" s="168">
        <v>35000</v>
      </c>
      <c r="X233" s="168">
        <v>36000</v>
      </c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168">
        <v>385000</v>
      </c>
      <c r="BA233" s="168">
        <v>371000</v>
      </c>
      <c r="BB233" s="168">
        <v>385000</v>
      </c>
      <c r="BC233" s="168">
        <v>26000</v>
      </c>
      <c r="BD233" s="168">
        <v>2782000</v>
      </c>
      <c r="BE233" s="168">
        <v>2263000</v>
      </c>
      <c r="BF233" s="168">
        <v>2807000</v>
      </c>
      <c r="BG233" s="168">
        <v>29000</v>
      </c>
      <c r="BH233" s="168">
        <v>3000</v>
      </c>
      <c r="BI233" s="168">
        <v>6000</v>
      </c>
      <c r="BJ233" s="168">
        <v>31000</v>
      </c>
      <c r="BK233" s="168">
        <v>323000</v>
      </c>
      <c r="BL233" s="168">
        <v>56000</v>
      </c>
      <c r="BM233" s="168">
        <v>1048000</v>
      </c>
      <c r="BN233" s="168">
        <v>379000</v>
      </c>
      <c r="BO233" s="21"/>
      <c r="BP233" s="21"/>
      <c r="BQ233" s="21"/>
      <c r="BR233" s="21"/>
      <c r="BS233" s="21"/>
      <c r="BT233" s="21"/>
      <c r="BU233" s="21"/>
      <c r="BV233" s="21"/>
      <c r="BW233" s="21"/>
      <c r="BX233" s="168">
        <v>487000</v>
      </c>
      <c r="BY233" s="168">
        <v>423000</v>
      </c>
      <c r="BZ233" s="168">
        <v>487000</v>
      </c>
      <c r="CA233" s="21"/>
      <c r="CB233" s="21"/>
      <c r="CC233" s="21"/>
      <c r="CD233" s="168">
        <v>377000</v>
      </c>
      <c r="CE233" s="168">
        <v>247000</v>
      </c>
      <c r="CF233" s="168">
        <v>309000</v>
      </c>
      <c r="CG233" s="168">
        <v>623000</v>
      </c>
      <c r="CH233" s="21"/>
      <c r="CI233" s="21"/>
      <c r="CJ233" s="21"/>
      <c r="CK233" s="21"/>
      <c r="CL233" s="21"/>
      <c r="CM233" s="21"/>
      <c r="CN233" s="21"/>
      <c r="CO233" s="21"/>
      <c r="CP233" s="21"/>
      <c r="CQ233" s="168">
        <v>553000</v>
      </c>
      <c r="CR233" s="168">
        <v>553000</v>
      </c>
      <c r="CS233" s="168">
        <v>553000</v>
      </c>
      <c r="CT233" s="21"/>
      <c r="CU233" s="168">
        <v>71000</v>
      </c>
      <c r="CV233" s="168">
        <v>71000</v>
      </c>
      <c r="CW233" s="168">
        <v>71000</v>
      </c>
      <c r="CX233" s="21"/>
      <c r="CY233" s="21"/>
      <c r="CZ233" s="21"/>
      <c r="DA233" s="21"/>
      <c r="DB233" s="21"/>
      <c r="DC233" s="168">
        <v>20000</v>
      </c>
      <c r="DD233" s="168">
        <v>56000</v>
      </c>
      <c r="DE233" s="168">
        <v>20000</v>
      </c>
      <c r="DF233" s="168">
        <v>644000</v>
      </c>
      <c r="DG233" s="168">
        <v>187000</v>
      </c>
      <c r="DH233" s="168">
        <v>259000</v>
      </c>
      <c r="DI233" s="168">
        <v>831000</v>
      </c>
      <c r="DJ233" s="168">
        <v>281000</v>
      </c>
      <c r="DK233" s="168">
        <v>14234000</v>
      </c>
      <c r="DL233" s="168">
        <v>11685000</v>
      </c>
      <c r="DM233" s="168">
        <v>14515000</v>
      </c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168">
        <v>47000</v>
      </c>
      <c r="EE233" s="168">
        <v>38000</v>
      </c>
      <c r="EF233" s="168">
        <v>47000</v>
      </c>
      <c r="EG233" s="21"/>
      <c r="EH233" s="21"/>
      <c r="EI233" s="21"/>
      <c r="EJ233" s="21"/>
      <c r="EK233" s="168">
        <v>3474000</v>
      </c>
      <c r="EL233" s="168">
        <v>2834000</v>
      </c>
      <c r="EM233" s="168">
        <v>3937000</v>
      </c>
      <c r="EN233" s="168">
        <v>6308000</v>
      </c>
      <c r="EO233" s="168">
        <v>307000</v>
      </c>
      <c r="EP233" s="168">
        <v>20216000</v>
      </c>
      <c r="EQ233" s="168">
        <v>16474000</v>
      </c>
      <c r="ER233" s="168">
        <v>20523000</v>
      </c>
      <c r="ES233" s="168">
        <v>3781000</v>
      </c>
      <c r="ET233" s="168">
        <v>23050000</v>
      </c>
      <c r="EU233" s="168">
        <v>20410000</v>
      </c>
      <c r="EV233" s="168">
        <v>26831000</v>
      </c>
      <c r="EW233" s="21"/>
      <c r="EX233" s="21"/>
      <c r="EY233" s="168">
        <v>140000</v>
      </c>
      <c r="EZ233" s="21"/>
      <c r="FA233" s="21"/>
      <c r="FB233" s="21"/>
      <c r="FC233" s="21"/>
      <c r="FD233" s="21"/>
      <c r="FE233" s="21"/>
      <c r="FF233" s="21"/>
      <c r="FG233" s="21"/>
      <c r="FH233" s="21"/>
      <c r="FI233" s="168">
        <v>156000</v>
      </c>
      <c r="FJ233" s="168">
        <v>-6000</v>
      </c>
      <c r="FK233" s="21"/>
      <c r="FL233" s="21"/>
      <c r="FM233" s="168">
        <v>9000</v>
      </c>
      <c r="FN233" s="168">
        <v>10000</v>
      </c>
      <c r="FO233" s="168">
        <v>2442000</v>
      </c>
      <c r="FP233" s="21"/>
      <c r="FQ233" s="21"/>
      <c r="FR233" s="21"/>
      <c r="FS233" s="21"/>
      <c r="FT233" s="21"/>
      <c r="FU233" s="21"/>
      <c r="FV233" s="21"/>
      <c r="FW233" s="168">
        <v>-1000</v>
      </c>
      <c r="FX233" s="168">
        <v>28000</v>
      </c>
      <c r="FY233" s="168">
        <v>16000</v>
      </c>
      <c r="FZ233" s="168">
        <v>3000</v>
      </c>
      <c r="GA233" s="21"/>
      <c r="GB233" s="21"/>
      <c r="GC233" s="168">
        <v>16000</v>
      </c>
      <c r="GD233" s="168">
        <v>19000</v>
      </c>
      <c r="GE233" s="168">
        <v>2591000</v>
      </c>
      <c r="GF233" s="21"/>
      <c r="GG233" s="21"/>
      <c r="GH233" s="21"/>
      <c r="GI233" s="21"/>
      <c r="GJ233" s="21"/>
      <c r="GK233" s="21"/>
      <c r="GL233" s="21"/>
      <c r="GM233" s="21"/>
      <c r="GN233" s="21"/>
      <c r="GO233" s="168">
        <v>286000</v>
      </c>
      <c r="GP233" s="168">
        <v>185000</v>
      </c>
      <c r="GQ233" s="21"/>
      <c r="GR233" s="21"/>
      <c r="GS233" s="168">
        <v>208000</v>
      </c>
      <c r="GT233" s="168">
        <v>119000</v>
      </c>
      <c r="GU233" s="168">
        <v>2451000</v>
      </c>
      <c r="GV233" s="168">
        <v>10000</v>
      </c>
      <c r="GW233" s="168">
        <v>2607000</v>
      </c>
      <c r="GX233" s="168">
        <v>19000</v>
      </c>
      <c r="GY233" s="168">
        <v>62468000</v>
      </c>
      <c r="GZ233" s="168">
        <v>53771000</v>
      </c>
      <c r="HA233" s="21"/>
      <c r="HB233" s="21"/>
      <c r="HC233" s="168">
        <v>3763000</v>
      </c>
      <c r="HD233" s="168">
        <v>3846000</v>
      </c>
      <c r="HE233" s="168">
        <v>15000</v>
      </c>
      <c r="HF233" s="168">
        <v>10000</v>
      </c>
      <c r="HG233" s="168">
        <v>10000</v>
      </c>
      <c r="HH233" s="168">
        <v>20000</v>
      </c>
      <c r="HI233" s="21"/>
      <c r="HJ233" s="21"/>
      <c r="HK233" s="21"/>
      <c r="HL233" s="21"/>
      <c r="HM233" s="21"/>
      <c r="HN233" s="21"/>
      <c r="HO233" s="168">
        <v>1536000</v>
      </c>
      <c r="HP233" s="168">
        <v>1416000</v>
      </c>
      <c r="HQ233" s="21"/>
      <c r="HR233" s="21"/>
      <c r="HS233" s="21"/>
      <c r="HT233" s="21"/>
      <c r="HU233" s="168">
        <v>605000</v>
      </c>
      <c r="HV233" s="168">
        <v>542000</v>
      </c>
      <c r="HW233" s="21"/>
      <c r="HX233" s="21"/>
      <c r="HY233" s="21"/>
      <c r="HZ233" s="21"/>
      <c r="IA233" s="21"/>
      <c r="IB233" s="21"/>
      <c r="IC233" s="21"/>
      <c r="ID233" s="21"/>
      <c r="IE233" s="168">
        <v>607000</v>
      </c>
      <c r="IF233" s="168">
        <v>544000</v>
      </c>
      <c r="IG233" s="168">
        <v>221000</v>
      </c>
      <c r="IH233" s="168">
        <v>238000</v>
      </c>
      <c r="II233" s="21"/>
      <c r="IJ233" s="21"/>
      <c r="IK233" s="21"/>
      <c r="IL233" s="21"/>
      <c r="IM233" s="21"/>
      <c r="IN233" s="21"/>
      <c r="IO233" s="21"/>
      <c r="IP233" s="21"/>
      <c r="IQ233" s="21"/>
      <c r="IR233" s="21"/>
      <c r="IS233" s="21"/>
      <c r="IT233" s="21"/>
      <c r="IU233" s="168">
        <v>160000</v>
      </c>
      <c r="IV233" s="168">
        <v>198000</v>
      </c>
      <c r="IW233" s="168">
        <v>366000</v>
      </c>
      <c r="IX233" s="168">
        <v>416000</v>
      </c>
      <c r="IY233" s="168">
        <v>-205000</v>
      </c>
      <c r="IZ233" s="168">
        <v>-218000</v>
      </c>
      <c r="JA233" s="168">
        <v>543000</v>
      </c>
      <c r="JB233" s="168">
        <v>496000</v>
      </c>
      <c r="JC233" s="168">
        <v>5000</v>
      </c>
      <c r="JD233" s="21"/>
      <c r="JE233" s="168">
        <v>4089000</v>
      </c>
      <c r="JF233" s="168">
        <v>3853000</v>
      </c>
      <c r="JG233" s="21"/>
      <c r="JH233" s="21"/>
      <c r="JI233" s="168">
        <v>70500000</v>
      </c>
      <c r="JJ233" s="168">
        <v>63274000</v>
      </c>
      <c r="JK233" s="168">
        <v>221000</v>
      </c>
      <c r="JL233" s="168">
        <v>238000</v>
      </c>
      <c r="JM233" s="21"/>
      <c r="JN233" s="21"/>
      <c r="JO233" s="168">
        <v>15000</v>
      </c>
      <c r="JP233" s="168">
        <v>20000</v>
      </c>
      <c r="JQ233" s="168">
        <v>-2584000</v>
      </c>
      <c r="JR233" s="168">
        <v>-708000</v>
      </c>
      <c r="JS233" s="21"/>
      <c r="JT233" s="21"/>
      <c r="JU233" s="21"/>
      <c r="JV233" s="21"/>
      <c r="JW233" s="168">
        <v>70314000</v>
      </c>
      <c r="JX233" s="168">
        <v>63219000</v>
      </c>
      <c r="JY233" s="21"/>
      <c r="JZ233" s="21"/>
      <c r="KA233" s="21"/>
      <c r="KB233" s="21"/>
      <c r="KC233" s="21"/>
      <c r="KD233" s="21"/>
      <c r="KE233" s="21"/>
      <c r="KF233" s="21"/>
      <c r="KG233" s="21"/>
      <c r="KH233" s="21"/>
      <c r="KI233" s="21"/>
      <c r="KJ233" s="21"/>
      <c r="KK233" s="21"/>
      <c r="KL233" s="21"/>
      <c r="KM233" s="21"/>
      <c r="KN233" s="21"/>
      <c r="KO233" s="21"/>
      <c r="KP233" s="21"/>
      <c r="KQ233" s="168">
        <v>184000</v>
      </c>
      <c r="KR233" s="168">
        <v>564000</v>
      </c>
      <c r="KS233" s="21"/>
      <c r="KT233" s="21"/>
      <c r="KU233" s="21"/>
      <c r="KV233" s="21"/>
      <c r="KW233" s="21"/>
      <c r="KX233" s="21"/>
      <c r="KY233" s="168">
        <v>1132000</v>
      </c>
      <c r="KZ233" s="168">
        <v>1030000</v>
      </c>
      <c r="LA233" s="168">
        <v>900000</v>
      </c>
      <c r="LB233" s="168">
        <v>900000</v>
      </c>
      <c r="LC233" s="168">
        <v>260000</v>
      </c>
      <c r="LD233" s="168">
        <v>257000</v>
      </c>
      <c r="LE233" s="168">
        <v>16000</v>
      </c>
      <c r="LF233" s="168">
        <v>3000</v>
      </c>
      <c r="LG233" s="21"/>
      <c r="LH233" s="21"/>
      <c r="LI233" s="168">
        <v>1417000</v>
      </c>
      <c r="LJ233" s="168">
        <v>1286000</v>
      </c>
      <c r="LK233" s="168">
        <v>12638000</v>
      </c>
      <c r="LL233" s="168">
        <v>9201000</v>
      </c>
      <c r="LM233" s="21"/>
      <c r="LN233" s="168">
        <v>177000</v>
      </c>
      <c r="LO233" s="21"/>
      <c r="LP233" s="21"/>
      <c r="LQ233" s="21"/>
      <c r="LR233" s="21"/>
      <c r="LS233" s="21"/>
      <c r="LT233" s="21"/>
      <c r="LU233" s="21"/>
      <c r="LV233" s="21"/>
      <c r="LW233" s="21"/>
      <c r="LX233" s="21"/>
      <c r="LY233" s="21"/>
      <c r="LZ233" s="21"/>
      <c r="MA233" s="168">
        <v>2830000</v>
      </c>
      <c r="MB233" s="168">
        <v>3386000</v>
      </c>
      <c r="MC233" s="168">
        <v>2407000</v>
      </c>
      <c r="MD233" s="168">
        <v>2481000</v>
      </c>
      <c r="ME233" s="21"/>
      <c r="MF233" s="21"/>
      <c r="MG233" s="168">
        <v>14000</v>
      </c>
      <c r="MH233" s="168">
        <v>11000</v>
      </c>
      <c r="MI233" s="21"/>
      <c r="MJ233" s="21"/>
      <c r="MK233" s="21"/>
      <c r="ML233" s="21"/>
      <c r="MM233" s="21"/>
      <c r="MN233" s="168">
        <v>70000</v>
      </c>
      <c r="MO233" s="21"/>
      <c r="MP233" s="21"/>
      <c r="MQ233" s="21"/>
      <c r="MR233" s="21"/>
      <c r="MS233" s="21"/>
      <c r="MT233" s="21"/>
      <c r="MU233" s="21"/>
      <c r="MV233" s="21"/>
      <c r="MW233" s="168">
        <v>1043000</v>
      </c>
      <c r="MX233" s="168">
        <v>924000</v>
      </c>
      <c r="MY233" s="21"/>
      <c r="MZ233" s="21"/>
      <c r="NA233" s="21"/>
      <c r="NB233" s="21"/>
      <c r="NC233" s="168">
        <v>208000</v>
      </c>
      <c r="ND233" s="168">
        <v>119000</v>
      </c>
      <c r="NE233" s="21"/>
      <c r="NF233" s="21"/>
      <c r="NG233" s="168">
        <v>2151000</v>
      </c>
      <c r="NH233" s="168">
        <v>1943000</v>
      </c>
      <c r="NI233" s="21"/>
      <c r="NJ233" s="21"/>
      <c r="NK233" s="168">
        <v>276000</v>
      </c>
      <c r="NL233" s="168">
        <v>260000</v>
      </c>
      <c r="NM233" s="168">
        <v>20608000</v>
      </c>
      <c r="NN233" s="168">
        <v>18196000</v>
      </c>
      <c r="NO233" s="168">
        <v>23050000</v>
      </c>
      <c r="NP233" s="168">
        <v>20410000</v>
      </c>
      <c r="NQ233" s="168" t="s">
        <v>1345</v>
      </c>
      <c r="NR233" s="168" t="s">
        <v>1472</v>
      </c>
      <c r="NS233" s="168" t="s">
        <v>770</v>
      </c>
      <c r="NT233" s="168" t="s">
        <v>771</v>
      </c>
      <c r="NU233" s="168">
        <v>101</v>
      </c>
      <c r="NV233" s="168" t="s">
        <v>2104</v>
      </c>
      <c r="NW233" s="168" t="s">
        <v>28</v>
      </c>
      <c r="NX233" s="168" t="s">
        <v>25</v>
      </c>
      <c r="NY233" s="169">
        <v>42825</v>
      </c>
      <c r="NZ233" s="169">
        <v>42460</v>
      </c>
      <c r="OA233" s="169">
        <v>43027</v>
      </c>
      <c r="OB233" s="168" t="s">
        <v>1522</v>
      </c>
      <c r="OC233" s="168">
        <v>12</v>
      </c>
      <c r="OD233" s="168" t="s">
        <v>2105</v>
      </c>
      <c r="OE233" s="168" t="s">
        <v>2276</v>
      </c>
      <c r="OF233" s="168" t="s">
        <v>2607</v>
      </c>
      <c r="OG233" s="168" t="s">
        <v>2066</v>
      </c>
      <c r="OH233" s="168" t="s">
        <v>911</v>
      </c>
      <c r="OI233" s="168" t="s">
        <v>766</v>
      </c>
      <c r="OJ233" s="168" t="s">
        <v>3240</v>
      </c>
      <c r="OK233" s="168" t="s">
        <v>1471</v>
      </c>
    </row>
    <row r="234" spans="1:401" x14ac:dyDescent="0.2">
      <c r="A234" s="170" t="str">
        <f>Liste[[#This Row],[Siren]]</f>
        <v>349655241</v>
      </c>
      <c r="B234" s="198" t="str">
        <f>Liste[[#This Row],[Dénomination]]&amp;" - comptes "&amp;YEAR(Liste[[#This Row],[Date de cloture de l''exercice]])</f>
        <v>VIVES EAUX - comptes 2017</v>
      </c>
      <c r="C234" s="21"/>
      <c r="D234" s="21"/>
      <c r="E234" s="21"/>
      <c r="F234" s="168">
        <v>2990994</v>
      </c>
      <c r="G234" s="168">
        <v>1678734</v>
      </c>
      <c r="H234" s="168">
        <v>-3</v>
      </c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168">
        <v>9361029</v>
      </c>
      <c r="BE234" s="168">
        <v>8404584</v>
      </c>
      <c r="BF234" s="168">
        <v>-3</v>
      </c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168">
        <v>2548959</v>
      </c>
      <c r="BY234" s="168">
        <v>2625240</v>
      </c>
      <c r="BZ234" s="168">
        <v>-3</v>
      </c>
      <c r="CA234" s="21"/>
      <c r="CB234" s="21"/>
      <c r="CC234" s="21"/>
      <c r="CD234" s="21"/>
      <c r="CE234" s="168">
        <v>1264206</v>
      </c>
      <c r="CF234" s="168">
        <v>1264206</v>
      </c>
      <c r="CG234" s="168">
        <v>-5</v>
      </c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168">
        <v>5611645</v>
      </c>
      <c r="EM234" s="168">
        <v>6110544</v>
      </c>
      <c r="EN234" s="21"/>
      <c r="EO234" s="21"/>
      <c r="EP234" s="168">
        <v>16801581</v>
      </c>
      <c r="EQ234" s="168">
        <v>14076976</v>
      </c>
      <c r="ER234" s="168">
        <v>-3</v>
      </c>
      <c r="ES234" s="21"/>
      <c r="ET234" s="168">
        <v>22413226</v>
      </c>
      <c r="EU234" s="168">
        <v>20187521</v>
      </c>
      <c r="EV234" s="21"/>
      <c r="EW234" s="21"/>
      <c r="EX234" s="21"/>
      <c r="EY234" s="21"/>
      <c r="EZ234" s="21"/>
      <c r="FA234" s="21"/>
      <c r="FB234" s="168">
        <v>416729</v>
      </c>
      <c r="FC234" s="168">
        <v>301867</v>
      </c>
      <c r="FD234" s="168">
        <v>-5</v>
      </c>
      <c r="FE234" s="21"/>
      <c r="FF234" s="21"/>
      <c r="FG234" s="21"/>
      <c r="FH234" s="21"/>
      <c r="FI234" s="168">
        <v>-180157</v>
      </c>
      <c r="FJ234" s="168">
        <v>-1044362</v>
      </c>
      <c r="FK234" s="21"/>
      <c r="FL234" s="21"/>
      <c r="FM234" s="21"/>
      <c r="FN234" s="21"/>
      <c r="FO234" s="21"/>
      <c r="FP234" s="21"/>
      <c r="FQ234" s="168">
        <v>29996</v>
      </c>
      <c r="FR234" s="168">
        <v>14998</v>
      </c>
      <c r="FS234" s="21"/>
      <c r="FT234" s="21"/>
      <c r="FU234" s="21"/>
      <c r="FV234" s="21"/>
      <c r="FW234" s="168">
        <v>-72792</v>
      </c>
      <c r="FX234" s="168">
        <v>-51289</v>
      </c>
      <c r="FY234" s="168">
        <v>47239</v>
      </c>
      <c r="FZ234" s="168">
        <v>66600</v>
      </c>
      <c r="GA234" s="21"/>
      <c r="GB234" s="21"/>
      <c r="GC234" s="21"/>
      <c r="GD234" s="21"/>
      <c r="GE234" s="21"/>
      <c r="GF234" s="21"/>
      <c r="GG234" s="21"/>
      <c r="GH234" s="21"/>
      <c r="GI234" s="21"/>
      <c r="GJ234" s="21"/>
      <c r="GK234" s="21"/>
      <c r="GL234" s="21"/>
      <c r="GM234" s="168">
        <v>446463</v>
      </c>
      <c r="GN234" s="168">
        <v>-93139</v>
      </c>
      <c r="GO234" s="168">
        <v>297605</v>
      </c>
      <c r="GP234" s="168">
        <v>-186644</v>
      </c>
      <c r="GQ234" s="168">
        <v>120862</v>
      </c>
      <c r="GR234" s="168">
        <v>78507</v>
      </c>
      <c r="GS234" s="168">
        <v>401224</v>
      </c>
      <c r="GT234" s="168">
        <v>-159739</v>
      </c>
      <c r="GU234" s="168">
        <v>-340779</v>
      </c>
      <c r="GV234" s="168">
        <v>-1228771</v>
      </c>
      <c r="GW234" s="168">
        <v>160622</v>
      </c>
      <c r="GX234" s="168">
        <v>184409</v>
      </c>
      <c r="GY234" s="21"/>
      <c r="GZ234" s="21"/>
      <c r="HA234" s="21"/>
      <c r="HB234" s="21"/>
      <c r="HC234" s="21"/>
      <c r="HD234" s="21"/>
      <c r="HE234" s="21"/>
      <c r="HF234" s="21"/>
      <c r="HG234" s="21"/>
      <c r="HH234" s="21"/>
      <c r="HI234" s="168">
        <v>368804</v>
      </c>
      <c r="HJ234" s="168">
        <v>188100</v>
      </c>
      <c r="HK234" s="21"/>
      <c r="HL234" s="21"/>
      <c r="HM234" s="21"/>
      <c r="HN234" s="21"/>
      <c r="HO234" s="21"/>
      <c r="HP234" s="21"/>
      <c r="HQ234" s="21"/>
      <c r="HR234" s="21"/>
      <c r="HS234" s="21"/>
      <c r="HT234" s="21"/>
      <c r="HU234" s="21"/>
      <c r="HV234" s="21"/>
      <c r="HW234" s="21"/>
      <c r="HX234" s="21"/>
      <c r="HY234" s="21"/>
      <c r="HZ234" s="21"/>
      <c r="IA234" s="21"/>
      <c r="IB234" s="21"/>
      <c r="IC234" s="21"/>
      <c r="ID234" s="21"/>
      <c r="IE234" s="168">
        <v>-548408</v>
      </c>
      <c r="IF234" s="168">
        <v>-349761</v>
      </c>
      <c r="IG234" s="21"/>
      <c r="IH234" s="21"/>
      <c r="II234" s="21"/>
      <c r="IJ234" s="21"/>
      <c r="IK234" s="21"/>
      <c r="IL234" s="21"/>
      <c r="IM234" s="21"/>
      <c r="IN234" s="21"/>
      <c r="IO234" s="21"/>
      <c r="IP234" s="21"/>
      <c r="IQ234" s="21"/>
      <c r="IR234" s="21"/>
      <c r="IS234" s="21"/>
      <c r="IT234" s="21"/>
      <c r="IU234" s="21"/>
      <c r="IV234" s="21"/>
      <c r="IW234" s="168">
        <v>653339</v>
      </c>
      <c r="IX234" s="168">
        <v>245178</v>
      </c>
      <c r="IY234" s="168">
        <v>-119402</v>
      </c>
      <c r="IZ234" s="168">
        <v>650465</v>
      </c>
      <c r="JA234" s="21"/>
      <c r="JB234" s="21"/>
      <c r="JC234" s="21"/>
      <c r="JD234" s="21"/>
      <c r="JE234" s="21"/>
      <c r="JF234" s="21"/>
      <c r="JG234" s="21"/>
      <c r="JH234" s="21"/>
      <c r="JI234" s="168">
        <v>-82334126</v>
      </c>
      <c r="JJ234" s="168">
        <v>-66731418</v>
      </c>
      <c r="JK234" s="168">
        <v>-132160</v>
      </c>
      <c r="JL234" s="168">
        <v>-104971</v>
      </c>
      <c r="JM234" s="168">
        <v>82990893</v>
      </c>
      <c r="JN234" s="168">
        <v>86975937</v>
      </c>
      <c r="JO234" s="168">
        <v>12758</v>
      </c>
      <c r="JP234" s="168">
        <v>755435</v>
      </c>
      <c r="JQ234" s="21"/>
      <c r="JR234" s="21"/>
      <c r="JS234" s="21"/>
      <c r="JT234" s="21"/>
      <c r="JU234" s="21"/>
      <c r="JV234" s="21"/>
      <c r="JW234" s="168">
        <v>82622290</v>
      </c>
      <c r="JX234" s="168">
        <v>66787837</v>
      </c>
      <c r="JY234" s="21"/>
      <c r="JZ234" s="21"/>
      <c r="KA234" s="21"/>
      <c r="KB234" s="21"/>
      <c r="KC234" s="21"/>
      <c r="KD234" s="21"/>
      <c r="KE234" s="21"/>
      <c r="KF234" s="21"/>
      <c r="KG234" s="21"/>
      <c r="KH234" s="21"/>
      <c r="KI234" s="21"/>
      <c r="KJ234" s="21"/>
      <c r="KK234" s="21"/>
      <c r="KL234" s="21"/>
      <c r="KM234" s="21"/>
      <c r="KN234" s="21"/>
      <c r="KO234" s="21"/>
      <c r="KP234" s="21"/>
      <c r="KQ234" s="21"/>
      <c r="KR234" s="21"/>
      <c r="KS234" s="21"/>
      <c r="KT234" s="21"/>
      <c r="KU234" s="21"/>
      <c r="KV234" s="21"/>
      <c r="KW234" s="21"/>
      <c r="KX234" s="21"/>
      <c r="KY234" s="21"/>
      <c r="KZ234" s="21"/>
      <c r="LA234" s="168">
        <v>320000</v>
      </c>
      <c r="LB234" s="168">
        <v>320000</v>
      </c>
      <c r="LC234" s="21"/>
      <c r="LD234" s="21"/>
      <c r="LE234" s="21"/>
      <c r="LF234" s="21"/>
      <c r="LG234" s="21"/>
      <c r="LH234" s="21"/>
      <c r="LI234" s="21"/>
      <c r="LJ234" s="21"/>
      <c r="LK234" s="168">
        <v>7351508</v>
      </c>
      <c r="LL234" s="168">
        <v>5898178</v>
      </c>
      <c r="LM234" s="21"/>
      <c r="LN234" s="21"/>
      <c r="LO234" s="21"/>
      <c r="LP234" s="21"/>
      <c r="LQ234" s="21"/>
      <c r="LR234" s="21"/>
      <c r="LS234" s="21"/>
      <c r="LT234" s="21"/>
      <c r="LU234" s="21"/>
      <c r="LV234" s="21"/>
      <c r="LW234" s="21"/>
      <c r="LX234" s="21"/>
      <c r="LY234" s="21"/>
      <c r="LZ234" s="21"/>
      <c r="MA234" s="21"/>
      <c r="MB234" s="21"/>
      <c r="MC234" s="168">
        <v>5367543</v>
      </c>
      <c r="MD234" s="168">
        <v>4926949</v>
      </c>
      <c r="ME234" s="21"/>
      <c r="MF234" s="21"/>
      <c r="MG234" s="21"/>
      <c r="MH234" s="21"/>
      <c r="MI234" s="21"/>
      <c r="MJ234" s="21"/>
      <c r="MK234" s="21"/>
      <c r="ML234" s="21"/>
      <c r="MM234" s="21"/>
      <c r="MN234" s="21"/>
      <c r="MO234" s="21"/>
      <c r="MP234" s="21"/>
      <c r="MQ234" s="21"/>
      <c r="MR234" s="21"/>
      <c r="MS234" s="21"/>
      <c r="MT234" s="21"/>
      <c r="MU234" s="21"/>
      <c r="MV234" s="21"/>
      <c r="MW234" s="168">
        <v>5387600</v>
      </c>
      <c r="MX234" s="168">
        <v>5613269</v>
      </c>
      <c r="MY234" s="21"/>
      <c r="MZ234" s="21"/>
      <c r="NA234" s="21"/>
      <c r="NB234" s="21"/>
      <c r="NC234" s="168">
        <v>401224</v>
      </c>
      <c r="ND234" s="168">
        <v>-159739</v>
      </c>
      <c r="NE234" s="21"/>
      <c r="NF234" s="21"/>
      <c r="NG234" s="168">
        <v>6108824</v>
      </c>
      <c r="NH234" s="168">
        <v>5773530</v>
      </c>
      <c r="NI234" s="21"/>
      <c r="NJ234" s="21"/>
      <c r="NK234" s="168">
        <v>144563</v>
      </c>
      <c r="NL234" s="168">
        <v>143167</v>
      </c>
      <c r="NM234" s="168">
        <v>15659348</v>
      </c>
      <c r="NN234" s="168">
        <v>13765547</v>
      </c>
      <c r="NO234" s="168">
        <v>22413226</v>
      </c>
      <c r="NP234" s="168">
        <v>20187521</v>
      </c>
      <c r="NQ234" s="168" t="s">
        <v>921</v>
      </c>
      <c r="NR234" s="168" t="s">
        <v>1231</v>
      </c>
      <c r="NS234" s="168" t="s">
        <v>770</v>
      </c>
      <c r="NT234" s="168" t="s">
        <v>771</v>
      </c>
      <c r="NU234" s="168">
        <v>4401</v>
      </c>
      <c r="NV234" s="168" t="s">
        <v>2104</v>
      </c>
      <c r="NW234" s="168" t="s">
        <v>28</v>
      </c>
      <c r="NX234" s="168" t="s">
        <v>25</v>
      </c>
      <c r="NY234" s="169">
        <v>42825</v>
      </c>
      <c r="NZ234" s="169">
        <v>42460</v>
      </c>
      <c r="OA234" s="169">
        <v>43042</v>
      </c>
      <c r="OB234" s="168" t="s">
        <v>1510</v>
      </c>
      <c r="OC234" s="168">
        <v>12</v>
      </c>
      <c r="OD234" s="168" t="s">
        <v>2105</v>
      </c>
      <c r="OE234" s="168" t="s">
        <v>2599</v>
      </c>
      <c r="OF234" s="168" t="s">
        <v>2600</v>
      </c>
      <c r="OG234" s="168" t="s">
        <v>2060</v>
      </c>
      <c r="OH234" s="168" t="s">
        <v>799</v>
      </c>
      <c r="OI234" s="168" t="s">
        <v>766</v>
      </c>
      <c r="OJ234" s="168" t="s">
        <v>3240</v>
      </c>
      <c r="OK234" s="168" t="s">
        <v>1230</v>
      </c>
    </row>
    <row r="235" spans="1:401" x14ac:dyDescent="0.2">
      <c r="A235" s="170" t="str">
        <f>Liste[[#This Row],[Siren]]</f>
        <v>781446521</v>
      </c>
      <c r="B235" s="198" t="str">
        <f>Liste[[#This Row],[Dénomination]]&amp;" - comptes "&amp;YEAR(Liste[[#This Row],[Date de cloture de l''exercice]])</f>
        <v>POUJOULAT - comptes 2017</v>
      </c>
      <c r="C235" s="21"/>
      <c r="D235" s="21"/>
      <c r="E235" s="21"/>
      <c r="F235" s="168">
        <v>6563000</v>
      </c>
      <c r="G235" s="168">
        <v>6607000</v>
      </c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168">
        <v>37226000</v>
      </c>
      <c r="BE235" s="168">
        <v>33702000</v>
      </c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168">
        <v>10634000</v>
      </c>
      <c r="EI235" s="168">
        <v>10286000</v>
      </c>
      <c r="EJ235" s="21"/>
      <c r="EK235" s="21"/>
      <c r="EL235" s="168">
        <v>86464000</v>
      </c>
      <c r="EM235" s="168">
        <v>88358000</v>
      </c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  <c r="FE235" s="21"/>
      <c r="FF235" s="21"/>
      <c r="FG235" s="21"/>
      <c r="FH235" s="21"/>
      <c r="FI235" s="21"/>
      <c r="FJ235" s="21"/>
      <c r="FK235" s="21"/>
      <c r="FL235" s="21"/>
      <c r="FM235" s="21"/>
      <c r="FN235" s="21"/>
      <c r="FO235" s="21"/>
      <c r="FP235" s="21"/>
      <c r="FQ235" s="21"/>
      <c r="FR235" s="21"/>
      <c r="FS235" s="21"/>
      <c r="FT235" s="21"/>
      <c r="FU235" s="21"/>
      <c r="FV235" s="21"/>
      <c r="FW235" s="168">
        <v>371000</v>
      </c>
      <c r="FX235" s="168">
        <v>822000</v>
      </c>
      <c r="FY235" s="21"/>
      <c r="FZ235" s="21"/>
      <c r="GA235" s="21"/>
      <c r="GB235" s="21"/>
      <c r="GC235" s="21"/>
      <c r="GD235" s="21"/>
      <c r="GE235" s="21"/>
      <c r="GF235" s="21"/>
      <c r="GG235" s="21"/>
      <c r="GH235" s="21"/>
      <c r="GI235" s="21"/>
      <c r="GJ235" s="21"/>
      <c r="GK235" s="21"/>
      <c r="GL235" s="21"/>
      <c r="GM235" s="168">
        <v>527000</v>
      </c>
      <c r="GN235" s="168">
        <v>493000</v>
      </c>
      <c r="GO235" s="21"/>
      <c r="GP235" s="21"/>
      <c r="GQ235" s="21"/>
      <c r="GR235" s="21"/>
      <c r="GS235" s="168">
        <v>609000</v>
      </c>
      <c r="GT235" s="168">
        <v>770000</v>
      </c>
      <c r="GU235" s="21"/>
      <c r="GV235" s="21"/>
      <c r="GW235" s="21"/>
      <c r="GX235" s="21"/>
      <c r="GY235" s="21"/>
      <c r="GZ235" s="21"/>
      <c r="HA235" s="21"/>
      <c r="HB235" s="21"/>
      <c r="HC235" s="21"/>
      <c r="HD235" s="21"/>
      <c r="HE235" s="168">
        <v>734000</v>
      </c>
      <c r="HF235" s="168">
        <v>796000</v>
      </c>
      <c r="HG235" s="21"/>
      <c r="HH235" s="21"/>
      <c r="HI235" s="21"/>
      <c r="HJ235" s="21"/>
      <c r="HK235" s="21"/>
      <c r="HL235" s="21"/>
      <c r="HM235" s="21"/>
      <c r="HN235" s="21"/>
      <c r="HO235" s="21"/>
      <c r="HP235" s="21"/>
      <c r="HQ235" s="21"/>
      <c r="HR235" s="21"/>
      <c r="HS235" s="21"/>
      <c r="HT235" s="21"/>
      <c r="HU235" s="168">
        <v>7888000</v>
      </c>
      <c r="HV235" s="168">
        <v>8533000</v>
      </c>
      <c r="HW235" s="168">
        <v>-297000</v>
      </c>
      <c r="HX235" s="168">
        <v>259000</v>
      </c>
      <c r="HY235" s="21"/>
      <c r="HZ235" s="21"/>
      <c r="IA235" s="21"/>
      <c r="IB235" s="21"/>
      <c r="IC235" s="21"/>
      <c r="ID235" s="21"/>
      <c r="IE235" s="168">
        <v>3396000</v>
      </c>
      <c r="IF235" s="168">
        <v>4037000</v>
      </c>
      <c r="IG235" s="21"/>
      <c r="IH235" s="21"/>
      <c r="II235" s="21"/>
      <c r="IJ235" s="21"/>
      <c r="IK235" s="21"/>
      <c r="IL235" s="21"/>
      <c r="IM235" s="168">
        <v>-1004000</v>
      </c>
      <c r="IN235" s="168">
        <v>815000</v>
      </c>
      <c r="IO235" s="21"/>
      <c r="IP235" s="21"/>
      <c r="IQ235" s="21"/>
      <c r="IR235" s="21"/>
      <c r="IS235" s="21"/>
      <c r="IT235" s="21"/>
      <c r="IU235" s="21"/>
      <c r="IV235" s="21"/>
      <c r="IW235" s="168">
        <v>2245000</v>
      </c>
      <c r="IX235" s="168">
        <v>2925000</v>
      </c>
      <c r="IY235" s="21"/>
      <c r="IZ235" s="21"/>
      <c r="JA235" s="21"/>
      <c r="JB235" s="21"/>
      <c r="JC235" s="21"/>
      <c r="JD235" s="21"/>
      <c r="JE235" s="21"/>
      <c r="JF235" s="21"/>
      <c r="JG235" s="21"/>
      <c r="JH235" s="21"/>
      <c r="JI235" s="21"/>
      <c r="JJ235" s="21"/>
      <c r="JK235" s="21"/>
      <c r="JL235" s="21"/>
      <c r="JM235" s="21"/>
      <c r="JN235" s="21"/>
      <c r="JO235" s="21"/>
      <c r="JP235" s="21"/>
      <c r="JQ235" s="21"/>
      <c r="JR235" s="21"/>
      <c r="JS235" s="21"/>
      <c r="JT235" s="21"/>
      <c r="JU235" s="21"/>
      <c r="JV235" s="21"/>
      <c r="JW235" s="168">
        <v>206171000</v>
      </c>
      <c r="JX235" s="168">
        <v>193751000</v>
      </c>
      <c r="JY235" s="21"/>
      <c r="JZ235" s="21"/>
      <c r="KA235" s="21"/>
      <c r="KB235" s="21"/>
      <c r="KC235" s="21"/>
      <c r="KD235" s="21"/>
      <c r="KE235" s="21"/>
      <c r="KF235" s="21"/>
      <c r="KG235" s="21"/>
      <c r="KH235" s="21"/>
      <c r="KI235" s="21"/>
      <c r="KJ235" s="21"/>
      <c r="KK235" s="21"/>
      <c r="KL235" s="21"/>
      <c r="KM235" s="21"/>
      <c r="KN235" s="21"/>
      <c r="KO235" s="21"/>
      <c r="KP235" s="21"/>
      <c r="KQ235" s="168">
        <v>18725000</v>
      </c>
      <c r="KR235" s="168">
        <v>18716000</v>
      </c>
      <c r="KS235" s="21"/>
      <c r="KT235" s="21"/>
      <c r="KU235" s="21"/>
      <c r="KV235" s="21"/>
      <c r="KW235" s="21"/>
      <c r="KX235" s="21"/>
      <c r="KY235" s="21"/>
      <c r="KZ235" s="21"/>
      <c r="LA235" s="168">
        <v>12000000</v>
      </c>
      <c r="LB235" s="168">
        <v>12000000</v>
      </c>
      <c r="LC235" s="21"/>
      <c r="LD235" s="21"/>
      <c r="LE235" s="21"/>
      <c r="LF235" s="21"/>
      <c r="LG235" s="21"/>
      <c r="LH235" s="21"/>
      <c r="LI235" s="21"/>
      <c r="LJ235" s="21"/>
      <c r="LK235" s="168">
        <v>17915000</v>
      </c>
      <c r="LL235" s="168">
        <v>13333000</v>
      </c>
      <c r="LM235" s="21"/>
      <c r="LN235" s="21"/>
      <c r="LO235" s="21"/>
      <c r="LP235" s="21"/>
      <c r="LQ235" s="21"/>
      <c r="LR235" s="21"/>
      <c r="LS235" s="21"/>
      <c r="LT235" s="21"/>
      <c r="LU235" s="21"/>
      <c r="LV235" s="21"/>
      <c r="LW235" s="21"/>
      <c r="LX235" s="21"/>
      <c r="LY235" s="21"/>
      <c r="LZ235" s="21"/>
      <c r="MA235" s="21"/>
      <c r="MB235" s="21"/>
      <c r="MC235" s="21"/>
      <c r="MD235" s="21"/>
      <c r="ME235" s="21"/>
      <c r="MF235" s="21"/>
      <c r="MG235" s="168">
        <v>1579000</v>
      </c>
      <c r="MH235" s="168">
        <v>1402000</v>
      </c>
      <c r="MI235" s="21"/>
      <c r="MJ235" s="21"/>
      <c r="MK235" s="21"/>
      <c r="ML235" s="21"/>
      <c r="MM235" s="21"/>
      <c r="MN235" s="21"/>
      <c r="MO235" s="21"/>
      <c r="MP235" s="21"/>
      <c r="MQ235" s="21"/>
      <c r="MR235" s="21"/>
      <c r="MS235" s="21"/>
      <c r="MT235" s="21"/>
      <c r="MU235" s="21"/>
      <c r="MV235" s="21"/>
      <c r="MW235" s="21"/>
      <c r="MX235" s="21"/>
      <c r="MY235" s="21"/>
      <c r="MZ235" s="21"/>
      <c r="NA235" s="21"/>
      <c r="NB235" s="21"/>
      <c r="NC235" s="168">
        <v>609000</v>
      </c>
      <c r="ND235" s="168">
        <v>770000</v>
      </c>
      <c r="NE235" s="21"/>
      <c r="NF235" s="21"/>
      <c r="NG235" s="168">
        <v>81849000</v>
      </c>
      <c r="NH235" s="168">
        <v>81982000</v>
      </c>
      <c r="NI235" s="21"/>
      <c r="NJ235" s="21"/>
      <c r="NK235" s="168">
        <v>-327000</v>
      </c>
      <c r="NL235" s="168">
        <v>-263000</v>
      </c>
      <c r="NM235" s="21"/>
      <c r="NN235" s="21"/>
      <c r="NO235" s="168">
        <v>183796000</v>
      </c>
      <c r="NP235" s="168">
        <v>188227000</v>
      </c>
      <c r="NQ235" s="168" t="s">
        <v>1512</v>
      </c>
      <c r="NR235" s="168" t="s">
        <v>1513</v>
      </c>
      <c r="NS235" s="168" t="s">
        <v>770</v>
      </c>
      <c r="NT235" s="168" t="s">
        <v>771</v>
      </c>
      <c r="NU235" s="168">
        <v>7901</v>
      </c>
      <c r="NV235" s="168" t="s">
        <v>2104</v>
      </c>
      <c r="NW235" s="168" t="s">
        <v>28</v>
      </c>
      <c r="NX235" s="168" t="s">
        <v>25</v>
      </c>
      <c r="NY235" s="169">
        <v>42825</v>
      </c>
      <c r="NZ235" s="169">
        <v>42460</v>
      </c>
      <c r="OA235" s="169">
        <v>43054</v>
      </c>
      <c r="OB235" s="168" t="s">
        <v>1514</v>
      </c>
      <c r="OC235" s="168">
        <v>12</v>
      </c>
      <c r="OD235" s="168" t="s">
        <v>2105</v>
      </c>
      <c r="OE235" s="168" t="s">
        <v>2212</v>
      </c>
      <c r="OF235" s="168" t="s">
        <v>2601</v>
      </c>
      <c r="OG235" s="168" t="s">
        <v>2061</v>
      </c>
      <c r="OH235" s="168" t="s">
        <v>878</v>
      </c>
      <c r="OI235" s="168" t="s">
        <v>766</v>
      </c>
      <c r="OJ235" s="168" t="s">
        <v>3240</v>
      </c>
      <c r="OK235" s="168" t="s">
        <v>1511</v>
      </c>
    </row>
    <row r="236" spans="1:401" x14ac:dyDescent="0.2">
      <c r="A236" s="170" t="str">
        <f>Liste[[#This Row],[Siren]]</f>
        <v>434277836</v>
      </c>
      <c r="B236" s="198" t="str">
        <f>Liste[[#This Row],[Dénomination]]&amp;" - comptes "&amp;YEAR(Liste[[#This Row],[Date de cloture de l''exercice]])</f>
        <v>MONTGERON DIS - comptes 2017</v>
      </c>
      <c r="C236" s="21"/>
      <c r="D236" s="21"/>
      <c r="E236" s="21"/>
      <c r="F236" s="168">
        <v>2433355</v>
      </c>
      <c r="G236" s="168">
        <v>2339418</v>
      </c>
      <c r="H236" s="168">
        <v>2433355</v>
      </c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168">
        <v>22727</v>
      </c>
      <c r="BE236" s="168">
        <v>89404</v>
      </c>
      <c r="BF236" s="168">
        <v>22727</v>
      </c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168">
        <v>432682</v>
      </c>
      <c r="BY236" s="168">
        <v>538072</v>
      </c>
      <c r="BZ236" s="168">
        <v>432682</v>
      </c>
      <c r="CA236" s="21"/>
      <c r="CB236" s="21"/>
      <c r="CC236" s="21"/>
      <c r="CD236" s="168">
        <v>1932786</v>
      </c>
      <c r="CE236" s="168">
        <v>1102126</v>
      </c>
      <c r="CF236" s="168">
        <v>1181323</v>
      </c>
      <c r="CG236" s="168">
        <v>3034912</v>
      </c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168">
        <v>15886693</v>
      </c>
      <c r="EL236" s="168">
        <v>19974306</v>
      </c>
      <c r="EM236" s="168">
        <v>21087821</v>
      </c>
      <c r="EN236" s="168">
        <v>35860999</v>
      </c>
      <c r="EO236" s="21"/>
      <c r="EP236" s="168">
        <v>5853404</v>
      </c>
      <c r="EQ236" s="168">
        <v>5825692</v>
      </c>
      <c r="ER236" s="168">
        <v>5853404</v>
      </c>
      <c r="ES236" s="168">
        <v>15886693</v>
      </c>
      <c r="ET236" s="168">
        <v>25827710</v>
      </c>
      <c r="EU236" s="168">
        <v>26913513</v>
      </c>
      <c r="EV236" s="168">
        <v>41714403</v>
      </c>
      <c r="EW236" s="21"/>
      <c r="EX236" s="21"/>
      <c r="EY236" s="21"/>
      <c r="EZ236" s="21"/>
      <c r="FA236" s="21"/>
      <c r="FB236" s="21"/>
      <c r="FC236" s="21"/>
      <c r="FD236" s="21"/>
      <c r="FE236" s="21"/>
      <c r="FF236" s="21"/>
      <c r="FG236" s="21"/>
      <c r="FH236" s="21"/>
      <c r="FI236" s="168">
        <v>-7970</v>
      </c>
      <c r="FJ236" s="168">
        <v>-3729</v>
      </c>
      <c r="FK236" s="21"/>
      <c r="FL236" s="21"/>
      <c r="FM236" s="21"/>
      <c r="FN236" s="21"/>
      <c r="FO236" s="21"/>
      <c r="FP236" s="21"/>
      <c r="FQ236" s="168">
        <v>-79197</v>
      </c>
      <c r="FR236" s="168">
        <v>-79197</v>
      </c>
      <c r="FS236" s="21"/>
      <c r="FT236" s="21"/>
      <c r="FU236" s="21"/>
      <c r="FV236" s="21"/>
      <c r="FW236" s="168">
        <v>6083</v>
      </c>
      <c r="FX236" s="168">
        <v>-3590</v>
      </c>
      <c r="FY236" s="168">
        <v>-26397</v>
      </c>
      <c r="FZ236" s="168">
        <v>-24807</v>
      </c>
      <c r="GA236" s="21"/>
      <c r="GB236" s="21"/>
      <c r="GC236" s="21"/>
      <c r="GD236" s="21"/>
      <c r="GE236" s="21"/>
      <c r="GF236" s="21"/>
      <c r="GG236" s="21"/>
      <c r="GH236" s="21"/>
      <c r="GI236" s="21"/>
      <c r="GJ236" s="21"/>
      <c r="GK236" s="21"/>
      <c r="GL236" s="21"/>
      <c r="GM236" s="168">
        <v>-39487</v>
      </c>
      <c r="GN236" s="168">
        <v>-8596</v>
      </c>
      <c r="GO236" s="168">
        <v>39710</v>
      </c>
      <c r="GP236" s="168">
        <v>70601</v>
      </c>
      <c r="GQ236" s="21"/>
      <c r="GR236" s="21"/>
      <c r="GS236" s="168">
        <v>-65884</v>
      </c>
      <c r="GT236" s="168">
        <v>-33403</v>
      </c>
      <c r="GU236" s="21"/>
      <c r="GV236" s="21"/>
      <c r="GW236" s="21"/>
      <c r="GX236" s="21"/>
      <c r="GY236" s="21"/>
      <c r="GZ236" s="21"/>
      <c r="HA236" s="21"/>
      <c r="HB236" s="21"/>
      <c r="HC236" s="21"/>
      <c r="HD236" s="21"/>
      <c r="HE236" s="168">
        <v>2702</v>
      </c>
      <c r="HF236" s="168">
        <v>3759</v>
      </c>
      <c r="HG236" s="21"/>
      <c r="HH236" s="21"/>
      <c r="HI236" s="168">
        <v>172343</v>
      </c>
      <c r="HJ236" s="168">
        <v>77449</v>
      </c>
      <c r="HK236" s="21"/>
      <c r="HL236" s="21"/>
      <c r="HM236" s="21"/>
      <c r="HN236" s="21"/>
      <c r="HO236" s="168">
        <v>3096827</v>
      </c>
      <c r="HP236" s="168">
        <v>3336310</v>
      </c>
      <c r="HQ236" s="21"/>
      <c r="HR236" s="21"/>
      <c r="HS236" s="21"/>
      <c r="HT236" s="21"/>
      <c r="HU236" s="21"/>
      <c r="HV236" s="21"/>
      <c r="HW236" s="21"/>
      <c r="HX236" s="21"/>
      <c r="HY236" s="21"/>
      <c r="HZ236" s="21"/>
      <c r="IA236" s="21"/>
      <c r="IB236" s="21"/>
      <c r="IC236" s="21"/>
      <c r="ID236" s="21"/>
      <c r="IE236" s="168">
        <v>863706</v>
      </c>
      <c r="IF236" s="168">
        <v>834316</v>
      </c>
      <c r="IG236" s="21"/>
      <c r="IH236" s="21"/>
      <c r="II236" s="21"/>
      <c r="IJ236" s="21"/>
      <c r="IK236" s="21"/>
      <c r="IL236" s="21"/>
      <c r="IM236" s="21"/>
      <c r="IN236" s="21"/>
      <c r="IO236" s="21"/>
      <c r="IP236" s="21"/>
      <c r="IQ236" s="21"/>
      <c r="IR236" s="21"/>
      <c r="IS236" s="21"/>
      <c r="IT236" s="21"/>
      <c r="IU236" s="168">
        <v>41597</v>
      </c>
      <c r="IV236" s="168">
        <v>77920</v>
      </c>
      <c r="IW236" s="168">
        <v>198781</v>
      </c>
      <c r="IX236" s="168">
        <v>292062</v>
      </c>
      <c r="IY236" s="168">
        <v>-157184</v>
      </c>
      <c r="IZ236" s="168">
        <v>-214142</v>
      </c>
      <c r="JA236" s="21"/>
      <c r="JB236" s="21"/>
      <c r="JC236" s="21"/>
      <c r="JD236" s="21"/>
      <c r="JE236" s="21"/>
      <c r="JF236" s="21"/>
      <c r="JG236" s="21"/>
      <c r="JH236" s="21"/>
      <c r="JI236" s="168">
        <v>39528739</v>
      </c>
      <c r="JJ236" s="168">
        <v>40219727</v>
      </c>
      <c r="JK236" s="21"/>
      <c r="JL236" s="21"/>
      <c r="JM236" s="168">
        <v>39727520</v>
      </c>
      <c r="JN236" s="168">
        <v>40511789</v>
      </c>
      <c r="JO236" s="21"/>
      <c r="JP236" s="21"/>
      <c r="JQ236" s="21"/>
      <c r="JR236" s="21"/>
      <c r="JS236" s="21"/>
      <c r="JT236" s="21"/>
      <c r="JU236" s="21"/>
      <c r="JV236" s="21"/>
      <c r="JW236" s="168">
        <v>39555177</v>
      </c>
      <c r="JX236" s="168">
        <v>40434340</v>
      </c>
      <c r="JY236" s="21"/>
      <c r="JZ236" s="21"/>
      <c r="KA236" s="21"/>
      <c r="KB236" s="21"/>
      <c r="KC236" s="21"/>
      <c r="KD236" s="21"/>
      <c r="KE236" s="21"/>
      <c r="KF236" s="21"/>
      <c r="KG236" s="21"/>
      <c r="KH236" s="21"/>
      <c r="KI236" s="21"/>
      <c r="KJ236" s="21"/>
      <c r="KK236" s="21"/>
      <c r="KL236" s="21"/>
      <c r="KM236" s="21"/>
      <c r="KN236" s="21"/>
      <c r="KO236" s="21"/>
      <c r="KP236" s="21"/>
      <c r="KQ236" s="168">
        <v>1188152</v>
      </c>
      <c r="KR236" s="168">
        <v>1158397</v>
      </c>
      <c r="KS236" s="21"/>
      <c r="KT236" s="21"/>
      <c r="KU236" s="21"/>
      <c r="KV236" s="21"/>
      <c r="KW236" s="21"/>
      <c r="KX236" s="21"/>
      <c r="KY236" s="21"/>
      <c r="KZ236" s="21"/>
      <c r="LA236" s="168">
        <v>40000</v>
      </c>
      <c r="LB236" s="168">
        <v>40000</v>
      </c>
      <c r="LC236" s="21"/>
      <c r="LD236" s="21"/>
      <c r="LE236" s="21"/>
      <c r="LF236" s="21"/>
      <c r="LG236" s="21"/>
      <c r="LH236" s="21"/>
      <c r="LI236" s="21"/>
      <c r="LJ236" s="21"/>
      <c r="LK236" s="168">
        <v>2562747</v>
      </c>
      <c r="LL236" s="168">
        <v>2579172</v>
      </c>
      <c r="LM236" s="21"/>
      <c r="LN236" s="21"/>
      <c r="LO236" s="21"/>
      <c r="LP236" s="21"/>
      <c r="LQ236" s="21"/>
      <c r="LR236" s="21"/>
      <c r="LS236" s="21"/>
      <c r="LT236" s="21"/>
      <c r="LU236" s="21"/>
      <c r="LV236" s="21"/>
      <c r="LW236" s="21"/>
      <c r="LX236" s="21"/>
      <c r="LY236" s="21"/>
      <c r="LZ236" s="21"/>
      <c r="MA236" s="21"/>
      <c r="MB236" s="21"/>
      <c r="MC236" s="168">
        <v>22871536</v>
      </c>
      <c r="MD236" s="168">
        <v>23902222</v>
      </c>
      <c r="ME236" s="21"/>
      <c r="MF236" s="21"/>
      <c r="MG236" s="21"/>
      <c r="MH236" s="21"/>
      <c r="MI236" s="21"/>
      <c r="MJ236" s="21"/>
      <c r="MK236" s="21"/>
      <c r="ML236" s="21"/>
      <c r="MM236" s="21"/>
      <c r="MN236" s="21"/>
      <c r="MO236" s="21"/>
      <c r="MP236" s="21"/>
      <c r="MQ236" s="21"/>
      <c r="MR236" s="21"/>
      <c r="MS236" s="21"/>
      <c r="MT236" s="21"/>
      <c r="MU236" s="21"/>
      <c r="MV236" s="21"/>
      <c r="MW236" s="21"/>
      <c r="MX236" s="21"/>
      <c r="MY236" s="21"/>
      <c r="MZ236" s="21"/>
      <c r="NA236" s="21"/>
      <c r="NB236" s="21"/>
      <c r="NC236" s="168">
        <v>-65884</v>
      </c>
      <c r="ND236" s="168">
        <v>-33403</v>
      </c>
      <c r="NE236" s="21"/>
      <c r="NF236" s="21"/>
      <c r="NG236" s="168">
        <v>-746422</v>
      </c>
      <c r="NH236" s="168">
        <v>-680539</v>
      </c>
      <c r="NI236" s="21"/>
      <c r="NJ236" s="21"/>
      <c r="NK236" s="168">
        <v>-48303</v>
      </c>
      <c r="NL236" s="168">
        <v>-45739</v>
      </c>
      <c r="NM236" s="168">
        <v>26622435</v>
      </c>
      <c r="NN236" s="168">
        <v>27639791</v>
      </c>
      <c r="NO236" s="168">
        <v>25827710</v>
      </c>
      <c r="NP236" s="168">
        <v>26913513</v>
      </c>
      <c r="NQ236" s="168" t="s">
        <v>1517</v>
      </c>
      <c r="NR236" s="168" t="s">
        <v>823</v>
      </c>
      <c r="NS236" s="168" t="s">
        <v>770</v>
      </c>
      <c r="NT236" s="168" t="s">
        <v>771</v>
      </c>
      <c r="NU236" s="168">
        <v>7801</v>
      </c>
      <c r="NV236" s="168" t="s">
        <v>2104</v>
      </c>
      <c r="NW236" s="168" t="s">
        <v>28</v>
      </c>
      <c r="NX236" s="168" t="s">
        <v>25</v>
      </c>
      <c r="NY236" s="169">
        <v>42825</v>
      </c>
      <c r="NZ236" s="169">
        <v>42460</v>
      </c>
      <c r="OA236" s="169">
        <v>43059</v>
      </c>
      <c r="OB236" s="168" t="s">
        <v>1518</v>
      </c>
      <c r="OC236" s="168">
        <v>12</v>
      </c>
      <c r="OD236" s="168" t="s">
        <v>2105</v>
      </c>
      <c r="OE236" s="168" t="s">
        <v>2353</v>
      </c>
      <c r="OF236" s="168" t="s">
        <v>2603</v>
      </c>
      <c r="OG236" s="168" t="s">
        <v>2063</v>
      </c>
      <c r="OH236" s="168" t="s">
        <v>772</v>
      </c>
      <c r="OI236" s="168" t="s">
        <v>766</v>
      </c>
      <c r="OJ236" s="168" t="s">
        <v>3240</v>
      </c>
      <c r="OK236" s="168" t="s">
        <v>822</v>
      </c>
    </row>
    <row r="237" spans="1:401" x14ac:dyDescent="0.2">
      <c r="A237" s="170" t="str">
        <f>Liste[[#This Row],[Siren]]</f>
        <v>387452576</v>
      </c>
      <c r="B237" s="198" t="str">
        <f>Liste[[#This Row],[Dénomination]]&amp;" - comptes "&amp;YEAR(Liste[[#This Row],[Date de cloture de l''exercice]])</f>
        <v>TRILOGIQ SA - comptes 2017</v>
      </c>
      <c r="C237" s="21"/>
      <c r="D237" s="21"/>
      <c r="E237" s="21"/>
      <c r="F237" s="168">
        <v>4066000</v>
      </c>
      <c r="G237" s="168">
        <v>4297000</v>
      </c>
      <c r="H237" s="168">
        <v>4066000</v>
      </c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168">
        <v>173000</v>
      </c>
      <c r="BA237" s="168">
        <v>166000</v>
      </c>
      <c r="BB237" s="168">
        <v>173000</v>
      </c>
      <c r="BC237" s="168">
        <v>163000</v>
      </c>
      <c r="BD237" s="168">
        <v>7757000</v>
      </c>
      <c r="BE237" s="168">
        <v>9012000</v>
      </c>
      <c r="BF237" s="168">
        <v>7920000</v>
      </c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168">
        <v>7557000</v>
      </c>
      <c r="BY237" s="168">
        <v>15566000</v>
      </c>
      <c r="BZ237" s="168">
        <v>7557000</v>
      </c>
      <c r="CA237" s="21"/>
      <c r="CB237" s="21"/>
      <c r="CC237" s="21"/>
      <c r="CD237" s="168">
        <v>727000</v>
      </c>
      <c r="CE237" s="21"/>
      <c r="CF237" s="21"/>
      <c r="CG237" s="168">
        <v>727000</v>
      </c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168">
        <v>19325000</v>
      </c>
      <c r="EL237" s="168">
        <v>23412000</v>
      </c>
      <c r="EM237" s="168">
        <v>22279000</v>
      </c>
      <c r="EN237" s="168">
        <v>42737000</v>
      </c>
      <c r="EO237" s="168">
        <v>183000</v>
      </c>
      <c r="EP237" s="168">
        <v>36718000</v>
      </c>
      <c r="EQ237" s="168">
        <v>41064000</v>
      </c>
      <c r="ER237" s="168">
        <v>36901000</v>
      </c>
      <c r="ES237" s="168">
        <v>19509000</v>
      </c>
      <c r="ET237" s="168">
        <v>60130000</v>
      </c>
      <c r="EU237" s="168">
        <v>63343000</v>
      </c>
      <c r="EV237" s="168">
        <v>79639000</v>
      </c>
      <c r="EW237" s="21"/>
      <c r="EX237" s="21"/>
      <c r="EY237" s="21"/>
      <c r="EZ237" s="21"/>
      <c r="FA237" s="21"/>
      <c r="FB237" s="21"/>
      <c r="FC237" s="21"/>
      <c r="FD237" s="21"/>
      <c r="FE237" s="21"/>
      <c r="FF237" s="168">
        <v>10000000</v>
      </c>
      <c r="FG237" s="168">
        <v>5000000</v>
      </c>
      <c r="FH237" s="168">
        <v>10000000</v>
      </c>
      <c r="FI237" s="168">
        <v>227000</v>
      </c>
      <c r="FJ237" s="168">
        <v>64000</v>
      </c>
      <c r="FK237" s="21"/>
      <c r="FL237" s="21"/>
      <c r="FM237" s="21"/>
      <c r="FN237" s="21"/>
      <c r="FO237" s="21"/>
      <c r="FP237" s="21"/>
      <c r="FQ237" s="21"/>
      <c r="FR237" s="168">
        <v>-7000</v>
      </c>
      <c r="FS237" s="21"/>
      <c r="FT237" s="21"/>
      <c r="FU237" s="168">
        <v>-138000</v>
      </c>
      <c r="FV237" s="168">
        <v>114000</v>
      </c>
      <c r="FW237" s="21"/>
      <c r="FX237" s="21"/>
      <c r="FY237" s="168">
        <v>-59000</v>
      </c>
      <c r="FZ237" s="168">
        <v>90000</v>
      </c>
      <c r="GA237" s="21"/>
      <c r="GB237" s="21"/>
      <c r="GC237" s="21"/>
      <c r="GD237" s="21"/>
      <c r="GE237" s="21"/>
      <c r="GF237" s="21"/>
      <c r="GG237" s="21"/>
      <c r="GH237" s="21"/>
      <c r="GI237" s="21"/>
      <c r="GJ237" s="21"/>
      <c r="GK237" s="21"/>
      <c r="GL237" s="21"/>
      <c r="GM237" s="168">
        <v>-3359000</v>
      </c>
      <c r="GN237" s="168">
        <v>1167000</v>
      </c>
      <c r="GO237" s="168">
        <v>-3359000</v>
      </c>
      <c r="GP237" s="168">
        <v>1160000</v>
      </c>
      <c r="GQ237" s="21"/>
      <c r="GR237" s="21"/>
      <c r="GS237" s="168">
        <v>-3300000</v>
      </c>
      <c r="GT237" s="168">
        <v>1077000</v>
      </c>
      <c r="GU237" s="21"/>
      <c r="GV237" s="21"/>
      <c r="GW237" s="21"/>
      <c r="GX237" s="21"/>
      <c r="GY237" s="21"/>
      <c r="GZ237" s="21"/>
      <c r="HA237" s="168">
        <v>13016000</v>
      </c>
      <c r="HB237" s="168">
        <v>18882000</v>
      </c>
      <c r="HC237" s="168">
        <v>9764000</v>
      </c>
      <c r="HD237" s="168">
        <v>14072000</v>
      </c>
      <c r="HE237" s="168">
        <v>70000</v>
      </c>
      <c r="HF237" s="168">
        <v>216000</v>
      </c>
      <c r="HG237" s="21"/>
      <c r="HH237" s="21"/>
      <c r="HI237" s="168">
        <v>190000</v>
      </c>
      <c r="HJ237" s="168">
        <v>185000</v>
      </c>
      <c r="HK237" s="21"/>
      <c r="HL237" s="21"/>
      <c r="HM237" s="21"/>
      <c r="HN237" s="21"/>
      <c r="HO237" s="21"/>
      <c r="HP237" s="21"/>
      <c r="HQ237" s="21"/>
      <c r="HR237" s="21"/>
      <c r="HS237" s="21"/>
      <c r="HT237" s="21"/>
      <c r="HU237" s="21"/>
      <c r="HV237" s="21"/>
      <c r="HW237" s="21"/>
      <c r="HX237" s="21"/>
      <c r="HY237" s="21"/>
      <c r="HZ237" s="21"/>
      <c r="IA237" s="21"/>
      <c r="IB237" s="21"/>
      <c r="IC237" s="21"/>
      <c r="ID237" s="21"/>
      <c r="IE237" s="168">
        <v>397000</v>
      </c>
      <c r="IF237" s="168">
        <v>421000</v>
      </c>
      <c r="IG237" s="21"/>
      <c r="IH237" s="21"/>
      <c r="II237" s="21"/>
      <c r="IJ237" s="21"/>
      <c r="IK237" s="21"/>
      <c r="IL237" s="21"/>
      <c r="IM237" s="21"/>
      <c r="IN237" s="21"/>
      <c r="IO237" s="21"/>
      <c r="IP237" s="21"/>
      <c r="IQ237" s="21"/>
      <c r="IR237" s="21"/>
      <c r="IS237" s="21"/>
      <c r="IT237" s="21"/>
      <c r="IU237" s="168">
        <v>-3192000</v>
      </c>
      <c r="IV237" s="168">
        <v>1074000</v>
      </c>
      <c r="IW237" s="168">
        <v>-3070000</v>
      </c>
      <c r="IX237" s="168">
        <v>1300000</v>
      </c>
      <c r="IY237" s="168">
        <v>-122000</v>
      </c>
      <c r="IZ237" s="168">
        <v>-227000</v>
      </c>
      <c r="JA237" s="21"/>
      <c r="JB237" s="21"/>
      <c r="JC237" s="21"/>
      <c r="JD237" s="21"/>
      <c r="JE237" s="168">
        <v>11757000</v>
      </c>
      <c r="JF237" s="168">
        <v>17722000</v>
      </c>
      <c r="JG237" s="21"/>
      <c r="JH237" s="21"/>
      <c r="JI237" s="21"/>
      <c r="JJ237" s="21"/>
      <c r="JK237" s="21"/>
      <c r="JL237" s="21"/>
      <c r="JM237" s="21"/>
      <c r="JN237" s="21"/>
      <c r="JO237" s="21"/>
      <c r="JP237" s="21"/>
      <c r="JQ237" s="21"/>
      <c r="JR237" s="21"/>
      <c r="JS237" s="168">
        <v>152000</v>
      </c>
      <c r="JT237" s="168">
        <v>637000</v>
      </c>
      <c r="JU237" s="21"/>
      <c r="JV237" s="21"/>
      <c r="JW237" s="168">
        <v>34918000</v>
      </c>
      <c r="JX237" s="168">
        <v>56000000</v>
      </c>
      <c r="JY237" s="21"/>
      <c r="JZ237" s="21"/>
      <c r="KA237" s="21"/>
      <c r="KB237" s="21"/>
      <c r="KC237" s="21"/>
      <c r="KD237" s="21"/>
      <c r="KE237" s="21"/>
      <c r="KF237" s="21"/>
      <c r="KG237" s="21"/>
      <c r="KH237" s="21"/>
      <c r="KI237" s="21"/>
      <c r="KJ237" s="21"/>
      <c r="KK237" s="21"/>
      <c r="KL237" s="21"/>
      <c r="KM237" s="21"/>
      <c r="KN237" s="21"/>
      <c r="KO237" s="21"/>
      <c r="KP237" s="21"/>
      <c r="KQ237" s="168">
        <v>189000</v>
      </c>
      <c r="KR237" s="168">
        <v>325000</v>
      </c>
      <c r="KS237" s="21"/>
      <c r="KT237" s="21"/>
      <c r="KU237" s="21"/>
      <c r="KV237" s="21"/>
      <c r="KW237" s="21"/>
      <c r="KX237" s="21"/>
      <c r="KY237" s="21"/>
      <c r="KZ237" s="21"/>
      <c r="LA237" s="168">
        <v>5607000</v>
      </c>
      <c r="LB237" s="168">
        <v>5607000</v>
      </c>
      <c r="LC237" s="21"/>
      <c r="LD237" s="21"/>
      <c r="LE237" s="21"/>
      <c r="LF237" s="21"/>
      <c r="LG237" s="21"/>
      <c r="LH237" s="21"/>
      <c r="LI237" s="168">
        <v>1958000</v>
      </c>
      <c r="LJ237" s="168">
        <v>2636000</v>
      </c>
      <c r="LK237" s="168">
        <v>3086000</v>
      </c>
      <c r="LL237" s="168">
        <v>4052000</v>
      </c>
      <c r="LM237" s="21"/>
      <c r="LN237" s="21"/>
      <c r="LO237" s="21"/>
      <c r="LP237" s="21"/>
      <c r="LQ237" s="21"/>
      <c r="LR237" s="21"/>
      <c r="LS237" s="21"/>
      <c r="LT237" s="21"/>
      <c r="LU237" s="168">
        <v>-1101000</v>
      </c>
      <c r="LV237" s="168">
        <v>-1623000</v>
      </c>
      <c r="LW237" s="21"/>
      <c r="LX237" s="21"/>
      <c r="LY237" s="21"/>
      <c r="LZ237" s="21"/>
      <c r="MA237" s="168">
        <v>1169000</v>
      </c>
      <c r="MB237" s="168">
        <v>2000</v>
      </c>
      <c r="MC237" s="168">
        <v>473000</v>
      </c>
      <c r="MD237" s="21"/>
      <c r="ME237" s="21"/>
      <c r="MF237" s="21"/>
      <c r="MG237" s="21"/>
      <c r="MH237" s="21"/>
      <c r="MI237" s="168">
        <v>418000</v>
      </c>
      <c r="MJ237" s="168">
        <v>418000</v>
      </c>
      <c r="MK237" s="21"/>
      <c r="ML237" s="21"/>
      <c r="MM237" s="168">
        <v>204000</v>
      </c>
      <c r="MN237" s="168">
        <v>143000</v>
      </c>
      <c r="MO237" s="21"/>
      <c r="MP237" s="21"/>
      <c r="MQ237" s="21"/>
      <c r="MR237" s="21"/>
      <c r="MS237" s="21"/>
      <c r="MT237" s="21"/>
      <c r="MU237" s="21"/>
      <c r="MV237" s="21"/>
      <c r="MW237" s="21"/>
      <c r="MX237" s="21"/>
      <c r="MY237" s="21"/>
      <c r="MZ237" s="21"/>
      <c r="NA237" s="21"/>
      <c r="NB237" s="21"/>
      <c r="NC237" s="168">
        <v>-3300000</v>
      </c>
      <c r="ND237" s="168">
        <v>1074000</v>
      </c>
      <c r="NE237" s="21"/>
      <c r="NF237" s="21"/>
      <c r="NG237" s="168">
        <v>52518000</v>
      </c>
      <c r="NH237" s="168">
        <v>55309000</v>
      </c>
      <c r="NI237" s="21"/>
      <c r="NJ237" s="21"/>
      <c r="NK237" s="168">
        <v>378000</v>
      </c>
      <c r="NL237" s="168">
        <v>466000</v>
      </c>
      <c r="NM237" s="168">
        <v>7080000</v>
      </c>
      <c r="NN237" s="168">
        <v>7158000</v>
      </c>
      <c r="NO237" s="168">
        <v>60130000</v>
      </c>
      <c r="NP237" s="168">
        <v>63343000</v>
      </c>
      <c r="NQ237" s="168" t="s">
        <v>844</v>
      </c>
      <c r="NR237" s="168" t="s">
        <v>909</v>
      </c>
      <c r="NS237" s="168" t="s">
        <v>770</v>
      </c>
      <c r="NT237" s="168" t="s">
        <v>771</v>
      </c>
      <c r="NU237" s="168">
        <v>7802</v>
      </c>
      <c r="NV237" s="168" t="s">
        <v>2104</v>
      </c>
      <c r="NW237" s="168" t="s">
        <v>28</v>
      </c>
      <c r="NX237" s="168" t="s">
        <v>25</v>
      </c>
      <c r="NY237" s="169">
        <v>42825</v>
      </c>
      <c r="NZ237" s="169">
        <v>42460</v>
      </c>
      <c r="OA237" s="169">
        <v>43046</v>
      </c>
      <c r="OB237" s="168" t="s">
        <v>1519</v>
      </c>
      <c r="OC237" s="168">
        <v>12</v>
      </c>
      <c r="OD237" s="168" t="s">
        <v>2106</v>
      </c>
      <c r="OE237" s="168" t="s">
        <v>2604</v>
      </c>
      <c r="OF237" s="168" t="s">
        <v>2605</v>
      </c>
      <c r="OG237" s="168" t="s">
        <v>2064</v>
      </c>
      <c r="OH237" s="168" t="s">
        <v>843</v>
      </c>
      <c r="OI237" s="168" t="s">
        <v>766</v>
      </c>
      <c r="OJ237" s="168" t="s">
        <v>3240</v>
      </c>
      <c r="OK237" s="168" t="s">
        <v>908</v>
      </c>
    </row>
    <row r="238" spans="1:401" x14ac:dyDescent="0.2">
      <c r="A238" s="170" t="str">
        <f>Liste[[#This Row],[Siren]]</f>
        <v>351980925</v>
      </c>
      <c r="B238" s="198" t="str">
        <f>Liste[[#This Row],[Dénomination]]&amp;" - comptes "&amp;YEAR(Liste[[#This Row],[Date de cloture de l''exercice]])</f>
        <v>AVENIR TELECOM - comptes 2017</v>
      </c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168">
        <v>86000</v>
      </c>
      <c r="S238" s="168">
        <v>427000</v>
      </c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168">
        <v>1137000</v>
      </c>
      <c r="EM238" s="168">
        <v>2521000</v>
      </c>
      <c r="EN238" s="21"/>
      <c r="EO238" s="21"/>
      <c r="EP238" s="168">
        <v>43389000</v>
      </c>
      <c r="EQ238" s="168">
        <v>54018000</v>
      </c>
      <c r="ER238" s="21"/>
      <c r="ES238" s="21"/>
      <c r="ET238" s="168">
        <v>44698000</v>
      </c>
      <c r="EU238" s="168">
        <v>56711000</v>
      </c>
      <c r="EV238" s="21"/>
      <c r="EW238" s="21"/>
      <c r="EX238" s="21"/>
      <c r="EY238" s="21"/>
      <c r="EZ238" s="21"/>
      <c r="FA238" s="21"/>
      <c r="FB238" s="21"/>
      <c r="FC238" s="21"/>
      <c r="FD238" s="21"/>
      <c r="FE238" s="21"/>
      <c r="FF238" s="21"/>
      <c r="FG238" s="21"/>
      <c r="FH238" s="21"/>
      <c r="FI238" s="21"/>
      <c r="FJ238" s="21"/>
      <c r="FK238" s="21"/>
      <c r="FL238" s="21"/>
      <c r="FM238" s="21"/>
      <c r="FN238" s="21"/>
      <c r="FO238" s="21"/>
      <c r="FP238" s="21"/>
      <c r="FQ238" s="21"/>
      <c r="FR238" s="21"/>
      <c r="FS238" s="21"/>
      <c r="FT238" s="21"/>
      <c r="FU238" s="21"/>
      <c r="FV238" s="21"/>
      <c r="FW238" s="21"/>
      <c r="FX238" s="21"/>
      <c r="FY238" s="21"/>
      <c r="FZ238" s="21"/>
      <c r="GA238" s="21"/>
      <c r="GB238" s="21"/>
      <c r="GC238" s="21"/>
      <c r="GD238" s="21"/>
      <c r="GE238" s="21"/>
      <c r="GF238" s="21"/>
      <c r="GG238" s="21"/>
      <c r="GH238" s="21"/>
      <c r="GI238" s="21"/>
      <c r="GJ238" s="21"/>
      <c r="GK238" s="21"/>
      <c r="GL238" s="21"/>
      <c r="GM238" s="168">
        <v>1344000</v>
      </c>
      <c r="GN238" s="168">
        <v>-29821000</v>
      </c>
      <c r="GO238" s="21"/>
      <c r="GP238" s="21"/>
      <c r="GQ238" s="21"/>
      <c r="GR238" s="21"/>
      <c r="GS238" s="21"/>
      <c r="GT238" s="21"/>
      <c r="GU238" s="21"/>
      <c r="GV238" s="21"/>
      <c r="GW238" s="21"/>
      <c r="GX238" s="21"/>
      <c r="GY238" s="21"/>
      <c r="GZ238" s="21"/>
      <c r="HA238" s="21"/>
      <c r="HB238" s="21"/>
      <c r="HC238" s="21"/>
      <c r="HD238" s="21"/>
      <c r="HE238" s="21"/>
      <c r="HF238" s="21"/>
      <c r="HG238" s="21"/>
      <c r="HH238" s="21"/>
      <c r="HI238" s="21"/>
      <c r="HJ238" s="21"/>
      <c r="HK238" s="21"/>
      <c r="HL238" s="21"/>
      <c r="HM238" s="21"/>
      <c r="HN238" s="21"/>
      <c r="HO238" s="21"/>
      <c r="HP238" s="21"/>
      <c r="HQ238" s="21"/>
      <c r="HR238" s="21"/>
      <c r="HS238" s="21"/>
      <c r="HT238" s="21"/>
      <c r="HU238" s="21"/>
      <c r="HV238" s="21"/>
      <c r="HW238" s="21"/>
      <c r="HX238" s="21"/>
      <c r="HY238" s="21"/>
      <c r="HZ238" s="21"/>
      <c r="IA238" s="21"/>
      <c r="IB238" s="21"/>
      <c r="IC238" s="21"/>
      <c r="ID238" s="21"/>
      <c r="IE238" s="21"/>
      <c r="IF238" s="21"/>
      <c r="IG238" s="21"/>
      <c r="IH238" s="21"/>
      <c r="II238" s="21"/>
      <c r="IJ238" s="21"/>
      <c r="IK238" s="21"/>
      <c r="IL238" s="21"/>
      <c r="IM238" s="21"/>
      <c r="IN238" s="21"/>
      <c r="IO238" s="21"/>
      <c r="IP238" s="21"/>
      <c r="IQ238" s="21"/>
      <c r="IR238" s="21"/>
      <c r="IS238" s="21"/>
      <c r="IT238" s="21"/>
      <c r="IU238" s="21"/>
      <c r="IV238" s="21"/>
      <c r="IW238" s="21"/>
      <c r="IX238" s="21"/>
      <c r="IY238" s="21"/>
      <c r="IZ238" s="21"/>
      <c r="JA238" s="21"/>
      <c r="JB238" s="21"/>
      <c r="JC238" s="21"/>
      <c r="JD238" s="21"/>
      <c r="JE238" s="21"/>
      <c r="JF238" s="21"/>
      <c r="JG238" s="21"/>
      <c r="JH238" s="21"/>
      <c r="JI238" s="21"/>
      <c r="JJ238" s="21"/>
      <c r="JK238" s="168">
        <v>-158000</v>
      </c>
      <c r="JL238" s="168">
        <v>-4532000</v>
      </c>
      <c r="JM238" s="21"/>
      <c r="JN238" s="21"/>
      <c r="JO238" s="168">
        <v>200000</v>
      </c>
      <c r="JP238" s="21"/>
      <c r="JQ238" s="21"/>
      <c r="JR238" s="21"/>
      <c r="JS238" s="21"/>
      <c r="JT238" s="21"/>
      <c r="JU238" s="21"/>
      <c r="JV238" s="21"/>
      <c r="JW238" s="168">
        <v>55565000</v>
      </c>
      <c r="JX238" s="168">
        <v>111946000</v>
      </c>
      <c r="JY238" s="21"/>
      <c r="JZ238" s="21"/>
      <c r="KA238" s="21"/>
      <c r="KB238" s="21"/>
      <c r="KC238" s="21"/>
      <c r="KD238" s="21"/>
      <c r="KE238" s="21"/>
      <c r="KF238" s="21"/>
      <c r="KG238" s="21"/>
      <c r="KH238" s="21"/>
      <c r="KI238" s="21"/>
      <c r="KJ238" s="21"/>
      <c r="KK238" s="21"/>
      <c r="KL238" s="21"/>
      <c r="KM238" s="21"/>
      <c r="KN238" s="21"/>
      <c r="KO238" s="21"/>
      <c r="KP238" s="21"/>
      <c r="KQ238" s="21"/>
      <c r="KR238" s="21"/>
      <c r="KS238" s="21"/>
      <c r="KT238" s="21"/>
      <c r="KU238" s="21"/>
      <c r="KV238" s="21"/>
      <c r="KW238" s="21"/>
      <c r="KX238" s="21"/>
      <c r="KY238" s="21"/>
      <c r="KZ238" s="21"/>
      <c r="LA238" s="168">
        <v>22100000</v>
      </c>
      <c r="LB238" s="168">
        <v>22100000</v>
      </c>
      <c r="LC238" s="21"/>
      <c r="LD238" s="21"/>
      <c r="LE238" s="21"/>
      <c r="LF238" s="21"/>
      <c r="LG238" s="21"/>
      <c r="LH238" s="21"/>
      <c r="LI238" s="168">
        <v>19615000</v>
      </c>
      <c r="LJ238" s="168">
        <v>19095000</v>
      </c>
      <c r="LK238" s="168">
        <v>14017000</v>
      </c>
      <c r="LL238" s="168">
        <v>19746000</v>
      </c>
      <c r="LM238" s="21"/>
      <c r="LN238" s="21"/>
      <c r="LO238" s="21"/>
      <c r="LP238" s="21"/>
      <c r="LQ238" s="21"/>
      <c r="LR238" s="21"/>
      <c r="LS238" s="21"/>
      <c r="LT238" s="21"/>
      <c r="LU238" s="168">
        <v>-2721000</v>
      </c>
      <c r="LV238" s="168">
        <v>-2794000</v>
      </c>
      <c r="LW238" s="21"/>
      <c r="LX238" s="21"/>
      <c r="LY238" s="21"/>
      <c r="LZ238" s="21"/>
      <c r="MA238" s="168">
        <v>4570000</v>
      </c>
      <c r="MB238" s="168">
        <v>8052000</v>
      </c>
      <c r="MC238" s="21"/>
      <c r="MD238" s="21"/>
      <c r="ME238" s="21"/>
      <c r="MF238" s="21"/>
      <c r="MG238" s="168">
        <v>1200000</v>
      </c>
      <c r="MH238" s="168">
        <v>1200000</v>
      </c>
      <c r="MI238" s="168">
        <v>7652000</v>
      </c>
      <c r="MJ238" s="168">
        <v>7652000</v>
      </c>
      <c r="MK238" s="21"/>
      <c r="ML238" s="21"/>
      <c r="MM238" s="21"/>
      <c r="MN238" s="21"/>
      <c r="MO238" s="21"/>
      <c r="MP238" s="21"/>
      <c r="MQ238" s="21"/>
      <c r="MR238" s="21"/>
      <c r="MS238" s="21"/>
      <c r="MT238" s="21"/>
      <c r="MU238" s="21"/>
      <c r="MV238" s="21"/>
      <c r="MW238" s="168">
        <v>-69855000</v>
      </c>
      <c r="MX238" s="168">
        <v>-40034000</v>
      </c>
      <c r="MY238" s="21"/>
      <c r="MZ238" s="21"/>
      <c r="NA238" s="21"/>
      <c r="NB238" s="21"/>
      <c r="NC238" s="168">
        <v>1344000</v>
      </c>
      <c r="ND238" s="168">
        <v>-29821000</v>
      </c>
      <c r="NE238" s="21"/>
      <c r="NF238" s="21"/>
      <c r="NG238" s="168">
        <v>-41481000</v>
      </c>
      <c r="NH238" s="168">
        <v>-42898000</v>
      </c>
      <c r="NI238" s="21"/>
      <c r="NJ238" s="21"/>
      <c r="NK238" s="21"/>
      <c r="NL238" s="21"/>
      <c r="NM238" s="168">
        <v>84574000</v>
      </c>
      <c r="NN238" s="168">
        <v>98004000</v>
      </c>
      <c r="NO238" s="168">
        <v>44698000</v>
      </c>
      <c r="NP238" s="168">
        <v>56711000</v>
      </c>
      <c r="NQ238" s="168" t="s">
        <v>1029</v>
      </c>
      <c r="NR238" s="168" t="s">
        <v>989</v>
      </c>
      <c r="NS238" s="168" t="s">
        <v>770</v>
      </c>
      <c r="NT238" s="168" t="s">
        <v>771</v>
      </c>
      <c r="NU238" s="168">
        <v>1303</v>
      </c>
      <c r="NV238" s="168" t="s">
        <v>2104</v>
      </c>
      <c r="NW238" s="168" t="s">
        <v>28</v>
      </c>
      <c r="NX238" s="168" t="s">
        <v>25</v>
      </c>
      <c r="NY238" s="169">
        <v>42825</v>
      </c>
      <c r="NZ238" s="169">
        <v>42460</v>
      </c>
      <c r="OA238" s="169">
        <v>43038</v>
      </c>
      <c r="OB238" s="168" t="s">
        <v>1260</v>
      </c>
      <c r="OC238" s="168">
        <v>12</v>
      </c>
      <c r="OD238" s="168" t="s">
        <v>2105</v>
      </c>
      <c r="OE238" s="168" t="s">
        <v>2377</v>
      </c>
      <c r="OF238" s="168" t="s">
        <v>2407</v>
      </c>
      <c r="OG238" s="168" t="s">
        <v>1940</v>
      </c>
      <c r="OH238" s="168" t="s">
        <v>967</v>
      </c>
      <c r="OI238" s="168" t="s">
        <v>766</v>
      </c>
      <c r="OJ238" s="168" t="s">
        <v>3240</v>
      </c>
      <c r="OK238" s="168" t="s">
        <v>988</v>
      </c>
    </row>
    <row r="239" spans="1:401" x14ac:dyDescent="0.2">
      <c r="A239" s="170" t="str">
        <f>Liste[[#This Row],[Siren]]</f>
        <v>587350281</v>
      </c>
      <c r="B239" s="198" t="str">
        <f>Liste[[#This Row],[Dénomination]]&amp;" - comptes "&amp;YEAR(Liste[[#This Row],[Date de cloture de l''exercice]])</f>
        <v>GAUTHIER FINANCE - comptes 2017</v>
      </c>
      <c r="C239" s="21"/>
      <c r="D239" s="21"/>
      <c r="E239" s="21"/>
      <c r="F239" s="168">
        <v>1105620</v>
      </c>
      <c r="G239" s="168">
        <v>1289511</v>
      </c>
      <c r="H239" s="168">
        <v>1105620</v>
      </c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168">
        <v>113969</v>
      </c>
      <c r="BD239" s="168">
        <v>6786941</v>
      </c>
      <c r="BE239" s="168">
        <v>7472406</v>
      </c>
      <c r="BF239" s="168">
        <v>6900910</v>
      </c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168">
        <v>1008625</v>
      </c>
      <c r="BY239" s="168">
        <v>1269643</v>
      </c>
      <c r="BZ239" s="168">
        <v>1008625</v>
      </c>
      <c r="CA239" s="21"/>
      <c r="CB239" s="21"/>
      <c r="CC239" s="21"/>
      <c r="CD239" s="168">
        <v>570597</v>
      </c>
      <c r="CE239" s="168">
        <v>20654</v>
      </c>
      <c r="CF239" s="168">
        <v>20654</v>
      </c>
      <c r="CG239" s="168">
        <v>591251</v>
      </c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168">
        <v>12667748</v>
      </c>
      <c r="EL239" s="168">
        <v>8629547</v>
      </c>
      <c r="EM239" s="168">
        <v>9022314</v>
      </c>
      <c r="EN239" s="168">
        <v>21297295</v>
      </c>
      <c r="EO239" s="168">
        <v>143211</v>
      </c>
      <c r="EP239" s="168">
        <v>14266679</v>
      </c>
      <c r="EQ239" s="168">
        <v>14200196</v>
      </c>
      <c r="ER239" s="168">
        <v>14409890</v>
      </c>
      <c r="ES239" s="168">
        <v>12810959</v>
      </c>
      <c r="ET239" s="168">
        <v>22896226</v>
      </c>
      <c r="EU239" s="168">
        <v>23222510</v>
      </c>
      <c r="EV239" s="168">
        <v>35707185</v>
      </c>
      <c r="EW239" s="21"/>
      <c r="EX239" s="21"/>
      <c r="EY239" s="21"/>
      <c r="EZ239" s="21"/>
      <c r="FA239" s="21"/>
      <c r="FB239" s="21"/>
      <c r="FC239" s="21"/>
      <c r="FD239" s="21"/>
      <c r="FE239" s="21"/>
      <c r="FF239" s="21"/>
      <c r="FG239" s="21"/>
      <c r="FH239" s="21"/>
      <c r="FI239" s="168">
        <v>49447</v>
      </c>
      <c r="FJ239" s="168">
        <v>25176</v>
      </c>
      <c r="FK239" s="21"/>
      <c r="FL239" s="21"/>
      <c r="FM239" s="21"/>
      <c r="FN239" s="21"/>
      <c r="FO239" s="21"/>
      <c r="FP239" s="21"/>
      <c r="FQ239" s="21"/>
      <c r="FR239" s="168">
        <v>15698</v>
      </c>
      <c r="FS239" s="21"/>
      <c r="FT239" s="21"/>
      <c r="FU239" s="21"/>
      <c r="FV239" s="21"/>
      <c r="FW239" s="168">
        <v>68691</v>
      </c>
      <c r="FX239" s="168">
        <v>-60946</v>
      </c>
      <c r="FY239" s="168">
        <v>12034</v>
      </c>
      <c r="FZ239" s="168">
        <v>-11892</v>
      </c>
      <c r="GA239" s="21"/>
      <c r="GB239" s="21"/>
      <c r="GC239" s="21"/>
      <c r="GD239" s="21"/>
      <c r="GE239" s="21"/>
      <c r="GF239" s="21"/>
      <c r="GG239" s="21"/>
      <c r="GH239" s="21"/>
      <c r="GI239" s="21"/>
      <c r="GJ239" s="21"/>
      <c r="GK239" s="21"/>
      <c r="GL239" s="21"/>
      <c r="GM239" s="21"/>
      <c r="GN239" s="21"/>
      <c r="GO239" s="21"/>
      <c r="GP239" s="21"/>
      <c r="GQ239" s="21"/>
      <c r="GR239" s="21"/>
      <c r="GS239" s="21"/>
      <c r="GT239" s="21"/>
      <c r="GU239" s="21"/>
      <c r="GV239" s="21"/>
      <c r="GW239" s="21"/>
      <c r="GX239" s="21"/>
      <c r="GY239" s="21"/>
      <c r="GZ239" s="21"/>
      <c r="HA239" s="21"/>
      <c r="HB239" s="21"/>
      <c r="HC239" s="21"/>
      <c r="HD239" s="21"/>
      <c r="HE239" s="168">
        <v>5088475</v>
      </c>
      <c r="HF239" s="168">
        <v>3721786</v>
      </c>
      <c r="HG239" s="21"/>
      <c r="HH239" s="21"/>
      <c r="HI239" s="168">
        <v>1919858</v>
      </c>
      <c r="HJ239" s="168">
        <v>231770</v>
      </c>
      <c r="HK239" s="21"/>
      <c r="HL239" s="21"/>
      <c r="HM239" s="21"/>
      <c r="HN239" s="21"/>
      <c r="HO239" s="21"/>
      <c r="HP239" s="21"/>
      <c r="HQ239" s="21"/>
      <c r="HR239" s="21"/>
      <c r="HS239" s="21"/>
      <c r="HT239" s="21"/>
      <c r="HU239" s="168">
        <v>1202207</v>
      </c>
      <c r="HV239" s="168">
        <v>1126385</v>
      </c>
      <c r="HW239" s="21"/>
      <c r="HX239" s="21"/>
      <c r="HY239" s="21"/>
      <c r="HZ239" s="21"/>
      <c r="IA239" s="21"/>
      <c r="IB239" s="21"/>
      <c r="IC239" s="21"/>
      <c r="ID239" s="21"/>
      <c r="IE239" s="168">
        <v>551283</v>
      </c>
      <c r="IF239" s="168">
        <v>562379</v>
      </c>
      <c r="IG239" s="21"/>
      <c r="IH239" s="21"/>
      <c r="II239" s="21"/>
      <c r="IJ239" s="21"/>
      <c r="IK239" s="21"/>
      <c r="IL239" s="21"/>
      <c r="IM239" s="21"/>
      <c r="IN239" s="21"/>
      <c r="IO239" s="21"/>
      <c r="IP239" s="21"/>
      <c r="IQ239" s="21"/>
      <c r="IR239" s="21"/>
      <c r="IS239" s="21"/>
      <c r="IT239" s="21"/>
      <c r="IU239" s="21"/>
      <c r="IV239" s="21"/>
      <c r="IW239" s="21"/>
      <c r="IX239" s="21"/>
      <c r="IY239" s="21"/>
      <c r="IZ239" s="21"/>
      <c r="JA239" s="21"/>
      <c r="JB239" s="21"/>
      <c r="JC239" s="21"/>
      <c r="JD239" s="21"/>
      <c r="JE239" s="21"/>
      <c r="JF239" s="21"/>
      <c r="JG239" s="21"/>
      <c r="JH239" s="21"/>
      <c r="JI239" s="21"/>
      <c r="JJ239" s="21"/>
      <c r="JK239" s="168">
        <v>164482</v>
      </c>
      <c r="JL239" s="168">
        <v>190678</v>
      </c>
      <c r="JM239" s="21"/>
      <c r="JN239" s="21"/>
      <c r="JO239" s="168">
        <v>42309</v>
      </c>
      <c r="JP239" s="168">
        <v>45020</v>
      </c>
      <c r="JQ239" s="21"/>
      <c r="JR239" s="21"/>
      <c r="JS239" s="21"/>
      <c r="JT239" s="21"/>
      <c r="JU239" s="21"/>
      <c r="JV239" s="21"/>
      <c r="JW239" s="168">
        <v>34547207</v>
      </c>
      <c r="JX239" s="168">
        <v>33884804</v>
      </c>
      <c r="JY239" s="21"/>
      <c r="JZ239" s="21"/>
      <c r="KA239" s="21"/>
      <c r="KB239" s="21"/>
      <c r="KC239" s="21"/>
      <c r="KD239" s="21"/>
      <c r="KE239" s="21"/>
      <c r="KF239" s="21"/>
      <c r="KG239" s="21"/>
      <c r="KH239" s="21"/>
      <c r="KI239" s="21"/>
      <c r="KJ239" s="21"/>
      <c r="KK239" s="21"/>
      <c r="KL239" s="21"/>
      <c r="KM239" s="21"/>
      <c r="KN239" s="21"/>
      <c r="KO239" s="21"/>
      <c r="KP239" s="21"/>
      <c r="KQ239" s="168">
        <v>2385785</v>
      </c>
      <c r="KR239" s="168">
        <v>2545966</v>
      </c>
      <c r="KS239" s="21"/>
      <c r="KT239" s="21"/>
      <c r="KU239" s="21"/>
      <c r="KV239" s="21"/>
      <c r="KW239" s="21"/>
      <c r="KX239" s="21"/>
      <c r="KY239" s="21"/>
      <c r="KZ239" s="21"/>
      <c r="LA239" s="168">
        <v>1000000</v>
      </c>
      <c r="LB239" s="168">
        <v>1000000</v>
      </c>
      <c r="LC239" s="21"/>
      <c r="LD239" s="21"/>
      <c r="LE239" s="21"/>
      <c r="LF239" s="21"/>
      <c r="LG239" s="168">
        <v>9369033</v>
      </c>
      <c r="LH239" s="168">
        <v>9738291</v>
      </c>
      <c r="LI239" s="21"/>
      <c r="LJ239" s="21"/>
      <c r="LK239" s="168">
        <v>4950160</v>
      </c>
      <c r="LL239" s="168">
        <v>4454881</v>
      </c>
      <c r="LM239" s="21"/>
      <c r="LN239" s="21"/>
      <c r="LO239" s="21"/>
      <c r="LP239" s="21"/>
      <c r="LQ239" s="21"/>
      <c r="LR239" s="21"/>
      <c r="LS239" s="21"/>
      <c r="LT239" s="21"/>
      <c r="LU239" s="21"/>
      <c r="LV239" s="21"/>
      <c r="LW239" s="21"/>
      <c r="LX239" s="21"/>
      <c r="LY239" s="21"/>
      <c r="LZ239" s="21"/>
      <c r="MA239" s="21"/>
      <c r="MB239" s="21"/>
      <c r="MC239" s="168">
        <v>3931470</v>
      </c>
      <c r="MD239" s="168">
        <v>5294498</v>
      </c>
      <c r="ME239" s="21"/>
      <c r="MF239" s="21"/>
      <c r="MG239" s="21"/>
      <c r="MH239" s="21"/>
      <c r="MI239" s="21"/>
      <c r="MJ239" s="21"/>
      <c r="MK239" s="21"/>
      <c r="ML239" s="21"/>
      <c r="MM239" s="21"/>
      <c r="MN239" s="21"/>
      <c r="MO239" s="21"/>
      <c r="MP239" s="21"/>
      <c r="MQ239" s="21"/>
      <c r="MR239" s="21"/>
      <c r="MS239" s="21"/>
      <c r="MT239" s="21"/>
      <c r="MU239" s="21"/>
      <c r="MV239" s="21"/>
      <c r="MW239" s="168">
        <v>9355634</v>
      </c>
      <c r="MX239" s="168">
        <v>9455757</v>
      </c>
      <c r="MY239" s="21"/>
      <c r="MZ239" s="21"/>
      <c r="NA239" s="21"/>
      <c r="NB239" s="21"/>
      <c r="NC239" s="168">
        <v>794604</v>
      </c>
      <c r="ND239" s="168">
        <v>60855</v>
      </c>
      <c r="NE239" s="168">
        <v>15017</v>
      </c>
      <c r="NF239" s="168">
        <v>26975</v>
      </c>
      <c r="NG239" s="168">
        <v>11165255</v>
      </c>
      <c r="NH239" s="168">
        <v>10543587</v>
      </c>
      <c r="NI239" s="21"/>
      <c r="NJ239" s="21"/>
      <c r="NK239" s="168">
        <v>87811</v>
      </c>
      <c r="NL239" s="168">
        <v>73672</v>
      </c>
      <c r="NM239" s="168">
        <v>11726153</v>
      </c>
      <c r="NN239" s="168">
        <v>12678562</v>
      </c>
      <c r="NO239" s="168">
        <v>22891408</v>
      </c>
      <c r="NP239" s="168">
        <v>23222149</v>
      </c>
      <c r="NQ239" s="168" t="s">
        <v>1185</v>
      </c>
      <c r="NR239" s="168" t="s">
        <v>802</v>
      </c>
      <c r="NS239" s="168" t="s">
        <v>770</v>
      </c>
      <c r="NT239" s="168" t="s">
        <v>771</v>
      </c>
      <c r="NU239" s="168">
        <v>4302</v>
      </c>
      <c r="NV239" s="168" t="s">
        <v>2104</v>
      </c>
      <c r="NW239" s="168" t="s">
        <v>28</v>
      </c>
      <c r="NX239" s="168" t="s">
        <v>25</v>
      </c>
      <c r="NY239" s="169">
        <v>42825</v>
      </c>
      <c r="NZ239" s="169">
        <v>42460</v>
      </c>
      <c r="OA239" s="169">
        <v>43088</v>
      </c>
      <c r="OB239" s="168" t="s">
        <v>1186</v>
      </c>
      <c r="OC239" s="168">
        <v>12</v>
      </c>
      <c r="OD239" s="168" t="s">
        <v>2105</v>
      </c>
      <c r="OE239" s="168" t="s">
        <v>1187</v>
      </c>
      <c r="OF239" s="168" t="s">
        <v>2356</v>
      </c>
      <c r="OG239" s="168" t="s">
        <v>1912</v>
      </c>
      <c r="OH239" s="168" t="s">
        <v>1184</v>
      </c>
      <c r="OI239" s="168" t="s">
        <v>766</v>
      </c>
      <c r="OJ239" s="168" t="s">
        <v>3240</v>
      </c>
      <c r="OK239" s="168" t="s">
        <v>801</v>
      </c>
    </row>
    <row r="240" spans="1:401" x14ac:dyDescent="0.2">
      <c r="A240" s="170" t="str">
        <f>Liste[[#This Row],[Siren]]</f>
        <v>403554181</v>
      </c>
      <c r="B240" s="198" t="str">
        <f>Liste[[#This Row],[Dénomination]]&amp;" - comptes "&amp;YEAR(Liste[[#This Row],[Date de cloture de l''exercice]])</f>
        <v>GROUPE LDLC - comptes 2017</v>
      </c>
      <c r="C240" s="21"/>
      <c r="D240" s="21"/>
      <c r="E240" s="21"/>
      <c r="F240" s="168">
        <v>16886000</v>
      </c>
      <c r="G240" s="168">
        <v>11402000</v>
      </c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168">
        <v>7950000</v>
      </c>
      <c r="S240" s="168">
        <v>8549000</v>
      </c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168">
        <v>17051000</v>
      </c>
      <c r="BE240" s="168">
        <v>19713000</v>
      </c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168">
        <v>19723000</v>
      </c>
      <c r="CF240" s="168">
        <v>19723000</v>
      </c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168">
        <v>50789000</v>
      </c>
      <c r="EM240" s="168">
        <v>54361000</v>
      </c>
      <c r="EN240" s="21"/>
      <c r="EO240" s="21"/>
      <c r="EP240" s="168">
        <v>119980000</v>
      </c>
      <c r="EQ240" s="168">
        <v>108313000</v>
      </c>
      <c r="ER240" s="21"/>
      <c r="ES240" s="21"/>
      <c r="ET240" s="168">
        <v>170769000</v>
      </c>
      <c r="EU240" s="168">
        <v>162673000</v>
      </c>
      <c r="EV240" s="21"/>
      <c r="EW240" s="21"/>
      <c r="EX240" s="21"/>
      <c r="EY240" s="21"/>
      <c r="EZ240" s="21"/>
      <c r="FA240" s="21"/>
      <c r="FB240" s="21"/>
      <c r="FC240" s="21"/>
      <c r="FD240" s="21"/>
      <c r="FE240" s="21"/>
      <c r="FF240" s="21"/>
      <c r="FG240" s="21"/>
      <c r="FH240" s="21"/>
      <c r="FI240" s="21"/>
      <c r="FJ240" s="21"/>
      <c r="FK240" s="21"/>
      <c r="FL240" s="21"/>
      <c r="FM240" s="21"/>
      <c r="FN240" s="21"/>
      <c r="FO240" s="21"/>
      <c r="FP240" s="21"/>
      <c r="FQ240" s="21"/>
      <c r="FR240" s="21"/>
      <c r="FS240" s="21"/>
      <c r="FT240" s="21"/>
      <c r="FU240" s="21"/>
      <c r="FV240" s="21"/>
      <c r="FW240" s="21"/>
      <c r="FX240" s="21"/>
      <c r="FY240" s="21"/>
      <c r="FZ240" s="21"/>
      <c r="GA240" s="21"/>
      <c r="GB240" s="21"/>
      <c r="GC240" s="21"/>
      <c r="GD240" s="21"/>
      <c r="GE240" s="21"/>
      <c r="GF240" s="21"/>
      <c r="GG240" s="21"/>
      <c r="GH240" s="21"/>
      <c r="GI240" s="21"/>
      <c r="GJ240" s="21"/>
      <c r="GK240" s="21"/>
      <c r="GL240" s="21"/>
      <c r="GM240" s="168">
        <v>8458000</v>
      </c>
      <c r="GN240" s="168">
        <v>7131000</v>
      </c>
      <c r="GO240" s="21"/>
      <c r="GP240" s="21"/>
      <c r="GQ240" s="21"/>
      <c r="GR240" s="21"/>
      <c r="GS240" s="168">
        <v>8115000</v>
      </c>
      <c r="GT240" s="168">
        <v>7941000</v>
      </c>
      <c r="GU240" s="21"/>
      <c r="GV240" s="21"/>
      <c r="GW240" s="21"/>
      <c r="GX240" s="21"/>
      <c r="GY240" s="21"/>
      <c r="GZ240" s="21"/>
      <c r="HA240" s="21"/>
      <c r="HB240" s="21"/>
      <c r="HC240" s="21"/>
      <c r="HD240" s="21"/>
      <c r="HE240" s="21"/>
      <c r="HF240" s="21"/>
      <c r="HG240" s="21"/>
      <c r="HH240" s="21"/>
      <c r="HI240" s="21"/>
      <c r="HJ240" s="21"/>
      <c r="HK240" s="21"/>
      <c r="HL240" s="21"/>
      <c r="HM240" s="21"/>
      <c r="HN240" s="21"/>
      <c r="HO240" s="21"/>
      <c r="HP240" s="21"/>
      <c r="HQ240" s="21"/>
      <c r="HR240" s="21"/>
      <c r="HS240" s="21"/>
      <c r="HT240" s="21"/>
      <c r="HU240" s="21"/>
      <c r="HV240" s="21"/>
      <c r="HW240" s="21"/>
      <c r="HX240" s="21"/>
      <c r="HY240" s="21"/>
      <c r="HZ240" s="21"/>
      <c r="IA240" s="21"/>
      <c r="IB240" s="21"/>
      <c r="IC240" s="21"/>
      <c r="ID240" s="21"/>
      <c r="IE240" s="21"/>
      <c r="IF240" s="21"/>
      <c r="IG240" s="21"/>
      <c r="IH240" s="21"/>
      <c r="II240" s="21"/>
      <c r="IJ240" s="21"/>
      <c r="IK240" s="21"/>
      <c r="IL240" s="21"/>
      <c r="IM240" s="21"/>
      <c r="IN240" s="21"/>
      <c r="IO240" s="21"/>
      <c r="IP240" s="21"/>
      <c r="IQ240" s="21"/>
      <c r="IR240" s="21"/>
      <c r="IS240" s="21"/>
      <c r="IT240" s="21"/>
      <c r="IU240" s="168">
        <v>12456000</v>
      </c>
      <c r="IV240" s="168">
        <v>13078000</v>
      </c>
      <c r="IW240" s="21"/>
      <c r="IX240" s="21"/>
      <c r="IY240" s="21"/>
      <c r="IZ240" s="21"/>
      <c r="JA240" s="21"/>
      <c r="JB240" s="21"/>
      <c r="JC240" s="21"/>
      <c r="JD240" s="21"/>
      <c r="JE240" s="21"/>
      <c r="JF240" s="21"/>
      <c r="JG240" s="21"/>
      <c r="JH240" s="21"/>
      <c r="JI240" s="21"/>
      <c r="JJ240" s="21"/>
      <c r="JK240" s="21"/>
      <c r="JL240" s="21"/>
      <c r="JM240" s="168">
        <v>13417000</v>
      </c>
      <c r="JN240" s="168">
        <v>13815000</v>
      </c>
      <c r="JO240" s="21"/>
      <c r="JP240" s="21"/>
      <c r="JQ240" s="21"/>
      <c r="JR240" s="21"/>
      <c r="JS240" s="21"/>
      <c r="JT240" s="21"/>
      <c r="JU240" s="21"/>
      <c r="JV240" s="21"/>
      <c r="JW240" s="168">
        <v>479678000</v>
      </c>
      <c r="JX240" s="168">
        <v>320719000</v>
      </c>
      <c r="JY240" s="21"/>
      <c r="JZ240" s="21"/>
      <c r="KA240" s="21"/>
      <c r="KB240" s="21"/>
      <c r="KC240" s="21"/>
      <c r="KD240" s="21"/>
      <c r="KE240" s="21"/>
      <c r="KF240" s="21"/>
      <c r="KG240" s="21"/>
      <c r="KH240" s="21"/>
      <c r="KI240" s="21"/>
      <c r="KJ240" s="21"/>
      <c r="KK240" s="21"/>
      <c r="KL240" s="21"/>
      <c r="KM240" s="21"/>
      <c r="KN240" s="21"/>
      <c r="KO240" s="21"/>
      <c r="KP240" s="21"/>
      <c r="KQ240" s="168">
        <v>19484000</v>
      </c>
      <c r="KR240" s="168">
        <v>21064000</v>
      </c>
      <c r="KS240" s="21"/>
      <c r="KT240" s="21"/>
      <c r="KU240" s="21"/>
      <c r="KV240" s="21"/>
      <c r="KW240" s="21"/>
      <c r="KX240" s="21"/>
      <c r="KY240" s="21"/>
      <c r="KZ240" s="21"/>
      <c r="LA240" s="168">
        <v>1138000</v>
      </c>
      <c r="LB240" s="168">
        <v>1138000</v>
      </c>
      <c r="LC240" s="21"/>
      <c r="LD240" s="21"/>
      <c r="LE240" s="21"/>
      <c r="LF240" s="21"/>
      <c r="LG240" s="21"/>
      <c r="LH240" s="21"/>
      <c r="LI240" s="21"/>
      <c r="LJ240" s="21"/>
      <c r="LK240" s="168">
        <v>44808000</v>
      </c>
      <c r="LL240" s="168">
        <v>35494000</v>
      </c>
      <c r="LM240" s="21"/>
      <c r="LN240" s="21"/>
      <c r="LO240" s="21"/>
      <c r="LP240" s="21"/>
      <c r="LQ240" s="21"/>
      <c r="LR240" s="21"/>
      <c r="LS240" s="21"/>
      <c r="LT240" s="21"/>
      <c r="LU240" s="21"/>
      <c r="LV240" s="21"/>
      <c r="LW240" s="21"/>
      <c r="LX240" s="21"/>
      <c r="LY240" s="21"/>
      <c r="LZ240" s="21"/>
      <c r="MA240" s="168">
        <v>40361000</v>
      </c>
      <c r="MB240" s="168">
        <v>30354000</v>
      </c>
      <c r="MC240" s="168">
        <v>6188000</v>
      </c>
      <c r="MD240" s="168">
        <v>20756000</v>
      </c>
      <c r="ME240" s="21"/>
      <c r="MF240" s="21"/>
      <c r="MG240" s="168">
        <v>2946000</v>
      </c>
      <c r="MH240" s="168">
        <v>4378000</v>
      </c>
      <c r="MI240" s="168">
        <v>21053000</v>
      </c>
      <c r="MJ240" s="168">
        <v>21053000</v>
      </c>
      <c r="MK240" s="21"/>
      <c r="ML240" s="21"/>
      <c r="MM240" s="21"/>
      <c r="MN240" s="21"/>
      <c r="MO240" s="21"/>
      <c r="MP240" s="21"/>
      <c r="MQ240" s="21"/>
      <c r="MR240" s="21"/>
      <c r="MS240" s="21"/>
      <c r="MT240" s="21"/>
      <c r="MU240" s="21"/>
      <c r="MV240" s="21"/>
      <c r="MW240" s="21"/>
      <c r="MX240" s="21"/>
      <c r="MY240" s="21"/>
      <c r="MZ240" s="21"/>
      <c r="NA240" s="21"/>
      <c r="NB240" s="21"/>
      <c r="NC240" s="168">
        <v>8115000</v>
      </c>
      <c r="ND240" s="168">
        <v>7941000</v>
      </c>
      <c r="NE240" s="21"/>
      <c r="NF240" s="21"/>
      <c r="NG240" s="168">
        <v>54851000</v>
      </c>
      <c r="NH240" s="168">
        <v>49048000</v>
      </c>
      <c r="NI240" s="21"/>
      <c r="NJ240" s="21"/>
      <c r="NK240" s="168">
        <v>28000</v>
      </c>
      <c r="NL240" s="21"/>
      <c r="NM240" s="168">
        <v>110841000</v>
      </c>
      <c r="NN240" s="168">
        <v>107667000</v>
      </c>
      <c r="NO240" s="168">
        <v>170769000</v>
      </c>
      <c r="NP240" s="168">
        <v>162673000</v>
      </c>
      <c r="NQ240" s="168" t="s">
        <v>1178</v>
      </c>
      <c r="NR240" s="168" t="s">
        <v>1179</v>
      </c>
      <c r="NS240" s="168" t="s">
        <v>770</v>
      </c>
      <c r="NT240" s="168" t="s">
        <v>771</v>
      </c>
      <c r="NU240" s="168">
        <v>6901</v>
      </c>
      <c r="NV240" s="168" t="s">
        <v>2104</v>
      </c>
      <c r="NW240" s="168" t="s">
        <v>28</v>
      </c>
      <c r="NX240" s="168" t="s">
        <v>25</v>
      </c>
      <c r="NY240" s="169">
        <v>42825</v>
      </c>
      <c r="NZ240" s="169">
        <v>42460</v>
      </c>
      <c r="OA240" s="169">
        <v>43062</v>
      </c>
      <c r="OB240" s="168" t="s">
        <v>1180</v>
      </c>
      <c r="OC240" s="168">
        <v>12</v>
      </c>
      <c r="OD240" s="168" t="s">
        <v>2106</v>
      </c>
      <c r="OE240" s="168" t="s">
        <v>1181</v>
      </c>
      <c r="OF240" s="168" t="s">
        <v>2351</v>
      </c>
      <c r="OG240" s="168" t="s">
        <v>1910</v>
      </c>
      <c r="OH240" s="168" t="s">
        <v>819</v>
      </c>
      <c r="OI240" s="168" t="s">
        <v>766</v>
      </c>
      <c r="OJ240" s="168" t="s">
        <v>3240</v>
      </c>
      <c r="OK240" s="168" t="s">
        <v>1177</v>
      </c>
    </row>
    <row r="241" spans="1:401" x14ac:dyDescent="0.2">
      <c r="A241" s="170" t="str">
        <f>Liste[[#This Row],[Siren]]</f>
        <v>442308920</v>
      </c>
      <c r="B241" s="198" t="str">
        <f>Liste[[#This Row],[Dénomination]]&amp;" - comptes "&amp;YEAR(Liste[[#This Row],[Date de cloture de l''exercice]])</f>
        <v>FINANCIERE DOMART - comptes 2017</v>
      </c>
      <c r="C241" s="21"/>
      <c r="D241" s="21"/>
      <c r="E241" s="21"/>
      <c r="F241" s="168">
        <v>251869</v>
      </c>
      <c r="G241" s="168">
        <v>250482</v>
      </c>
      <c r="H241" s="168">
        <v>251869</v>
      </c>
      <c r="I241" s="168">
        <v>572581</v>
      </c>
      <c r="J241" s="168">
        <v>408993</v>
      </c>
      <c r="K241" s="168">
        <v>510781</v>
      </c>
      <c r="L241" s="168">
        <v>981575</v>
      </c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168">
        <v>1252831</v>
      </c>
      <c r="AA241" s="168">
        <v>1234958</v>
      </c>
      <c r="AB241" s="168">
        <v>1252831</v>
      </c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168">
        <v>65</v>
      </c>
      <c r="AT241" s="168">
        <v>10</v>
      </c>
      <c r="AU241" s="168">
        <v>65</v>
      </c>
      <c r="AV241" s="21"/>
      <c r="AW241" s="21"/>
      <c r="AX241" s="21"/>
      <c r="AY241" s="21"/>
      <c r="AZ241" s="168">
        <v>381550</v>
      </c>
      <c r="BA241" s="168">
        <v>325727</v>
      </c>
      <c r="BB241" s="168">
        <v>381550</v>
      </c>
      <c r="BC241" s="168">
        <v>39083</v>
      </c>
      <c r="BD241" s="168">
        <v>574442</v>
      </c>
      <c r="BE241" s="168">
        <v>861843</v>
      </c>
      <c r="BF241" s="168">
        <v>613524</v>
      </c>
      <c r="BG241" s="168">
        <v>188128</v>
      </c>
      <c r="BH241" s="168">
        <v>10155</v>
      </c>
      <c r="BI241" s="168">
        <v>10862</v>
      </c>
      <c r="BJ241" s="168">
        <v>198283</v>
      </c>
      <c r="BK241" s="168">
        <v>2233489</v>
      </c>
      <c r="BL241" s="168">
        <v>13841932</v>
      </c>
      <c r="BM241" s="168">
        <v>14655099</v>
      </c>
      <c r="BN241" s="168">
        <v>16075421</v>
      </c>
      <c r="BO241" s="21"/>
      <c r="BP241" s="21"/>
      <c r="BQ241" s="21"/>
      <c r="BR241" s="21"/>
      <c r="BS241" s="21"/>
      <c r="BT241" s="21"/>
      <c r="BU241" s="21"/>
      <c r="BV241" s="21"/>
      <c r="BW241" s="21"/>
      <c r="BX241" s="168">
        <v>3855045</v>
      </c>
      <c r="BY241" s="168">
        <v>3444296</v>
      </c>
      <c r="BZ241" s="168">
        <v>3855045</v>
      </c>
      <c r="CA241" s="21"/>
      <c r="CB241" s="21"/>
      <c r="CC241" s="21"/>
      <c r="CD241" s="168">
        <v>1468433</v>
      </c>
      <c r="CE241" s="168">
        <v>789275</v>
      </c>
      <c r="CF241" s="168">
        <v>789275</v>
      </c>
      <c r="CG241" s="168">
        <v>2257708</v>
      </c>
      <c r="CH241" s="21"/>
      <c r="CI241" s="21"/>
      <c r="CJ241" s="21"/>
      <c r="CK241" s="21"/>
      <c r="CL241" s="21"/>
      <c r="CM241" s="21"/>
      <c r="CN241" s="21"/>
      <c r="CO241" s="21"/>
      <c r="CP241" s="21"/>
      <c r="CQ241" s="168">
        <v>671228</v>
      </c>
      <c r="CR241" s="168">
        <v>671228</v>
      </c>
      <c r="CS241" s="168">
        <v>671228</v>
      </c>
      <c r="CT241" s="21"/>
      <c r="CU241" s="21"/>
      <c r="CV241" s="21"/>
      <c r="CW241" s="21"/>
      <c r="CX241" s="21"/>
      <c r="CY241" s="21"/>
      <c r="CZ241" s="21"/>
      <c r="DA241" s="21"/>
      <c r="DB241" s="21"/>
      <c r="DC241" s="168">
        <v>6684032</v>
      </c>
      <c r="DD241" s="21"/>
      <c r="DE241" s="168">
        <v>6684032</v>
      </c>
      <c r="DF241" s="168">
        <v>1499063</v>
      </c>
      <c r="DG241" s="168">
        <v>2611331</v>
      </c>
      <c r="DH241" s="168">
        <v>3039205</v>
      </c>
      <c r="DI241" s="168">
        <v>4110394</v>
      </c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168">
        <v>38439</v>
      </c>
      <c r="DX241" s="168">
        <v>40289</v>
      </c>
      <c r="DY241" s="168">
        <v>38439</v>
      </c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168">
        <v>5961694</v>
      </c>
      <c r="EL241" s="168">
        <v>29524486</v>
      </c>
      <c r="EM241" s="168">
        <v>24153955</v>
      </c>
      <c r="EN241" s="168">
        <v>35486180</v>
      </c>
      <c r="EO241" s="168">
        <v>404770</v>
      </c>
      <c r="EP241" s="168">
        <v>16801769</v>
      </c>
      <c r="EQ241" s="168">
        <v>14791466</v>
      </c>
      <c r="ER241" s="168">
        <v>17206539</v>
      </c>
      <c r="ES241" s="168">
        <v>6366464</v>
      </c>
      <c r="ET241" s="168">
        <v>46326255</v>
      </c>
      <c r="EU241" s="168">
        <v>38945421</v>
      </c>
      <c r="EV241" s="168">
        <v>52692719</v>
      </c>
      <c r="EW241" s="21"/>
      <c r="EX241" s="168">
        <v>2918274</v>
      </c>
      <c r="EY241" s="168">
        <v>2918274</v>
      </c>
      <c r="EZ241" s="168">
        <v>2918274</v>
      </c>
      <c r="FA241" s="21"/>
      <c r="FB241" s="168">
        <v>47021</v>
      </c>
      <c r="FC241" s="168">
        <v>29583</v>
      </c>
      <c r="FD241" s="168">
        <v>47021</v>
      </c>
      <c r="FE241" s="21"/>
      <c r="FF241" s="168">
        <v>4704208</v>
      </c>
      <c r="FG241" s="168">
        <v>5298838</v>
      </c>
      <c r="FH241" s="168">
        <v>4704208</v>
      </c>
      <c r="FI241" s="168">
        <v>43192</v>
      </c>
      <c r="FJ241" s="168">
        <v>2308419</v>
      </c>
      <c r="FK241" s="21"/>
      <c r="FL241" s="21"/>
      <c r="FM241" s="168">
        <v>13196</v>
      </c>
      <c r="FN241" s="168">
        <v>35774</v>
      </c>
      <c r="FO241" s="21"/>
      <c r="FP241" s="21"/>
      <c r="FQ241" s="21"/>
      <c r="FR241" s="168">
        <v>-112885</v>
      </c>
      <c r="FS241" s="168">
        <v>9616</v>
      </c>
      <c r="FT241" s="168">
        <v>252526</v>
      </c>
      <c r="FU241" s="21"/>
      <c r="FV241" s="21"/>
      <c r="FW241" s="168">
        <v>-628558</v>
      </c>
      <c r="FX241" s="168">
        <v>-1228511</v>
      </c>
      <c r="FY241" s="168">
        <v>312</v>
      </c>
      <c r="FZ241" s="168">
        <v>447</v>
      </c>
      <c r="GA241" s="21"/>
      <c r="GB241" s="21"/>
      <c r="GC241" s="168">
        <v>7200</v>
      </c>
      <c r="GD241" s="168">
        <v>19499</v>
      </c>
      <c r="GE241" s="21"/>
      <c r="GF241" s="21"/>
      <c r="GG241" s="21"/>
      <c r="GH241" s="21"/>
      <c r="GI241" s="21"/>
      <c r="GJ241" s="21"/>
      <c r="GK241" s="168">
        <v>161388</v>
      </c>
      <c r="GL241" s="168">
        <v>1153</v>
      </c>
      <c r="GM241" s="168">
        <v>1545376</v>
      </c>
      <c r="GN241" s="168">
        <v>2083833</v>
      </c>
      <c r="GO241" s="168">
        <v>1501555</v>
      </c>
      <c r="GP241" s="168">
        <v>2170335</v>
      </c>
      <c r="GQ241" s="168">
        <v>43821</v>
      </c>
      <c r="GR241" s="168">
        <v>26383</v>
      </c>
      <c r="GS241" s="168">
        <v>1545064</v>
      </c>
      <c r="GT241" s="168">
        <v>2083386</v>
      </c>
      <c r="GU241" s="168">
        <v>171427</v>
      </c>
      <c r="GV241" s="168">
        <v>1504650</v>
      </c>
      <c r="GW241" s="168">
        <v>214619</v>
      </c>
      <c r="GX241" s="168">
        <v>3813069</v>
      </c>
      <c r="GY241" s="168">
        <v>49858111</v>
      </c>
      <c r="GZ241" s="168">
        <v>45694545</v>
      </c>
      <c r="HA241" s="168">
        <v>4351977</v>
      </c>
      <c r="HB241" s="168">
        <v>4155344</v>
      </c>
      <c r="HC241" s="168">
        <v>3008415</v>
      </c>
      <c r="HD241" s="168">
        <v>2678329</v>
      </c>
      <c r="HE241" s="21"/>
      <c r="HF241" s="21"/>
      <c r="HG241" s="21"/>
      <c r="HH241" s="21"/>
      <c r="HI241" s="168">
        <v>433595</v>
      </c>
      <c r="HJ241" s="168">
        <v>126560</v>
      </c>
      <c r="HK241" s="21"/>
      <c r="HL241" s="21"/>
      <c r="HM241" s="21"/>
      <c r="HN241" s="21"/>
      <c r="HO241" s="21"/>
      <c r="HP241" s="21"/>
      <c r="HQ241" s="21"/>
      <c r="HR241" s="21"/>
      <c r="HS241" s="21"/>
      <c r="HT241" s="21"/>
      <c r="HU241" s="168">
        <v>1950873</v>
      </c>
      <c r="HV241" s="168">
        <v>1914061</v>
      </c>
      <c r="HW241" s="21"/>
      <c r="HX241" s="21"/>
      <c r="HY241" s="21"/>
      <c r="HZ241" s="21"/>
      <c r="IA241" s="21"/>
      <c r="IB241" s="21"/>
      <c r="IC241" s="21"/>
      <c r="ID241" s="21"/>
      <c r="IE241" s="168">
        <v>342284</v>
      </c>
      <c r="IF241" s="168">
        <v>1140585</v>
      </c>
      <c r="IG241" s="21"/>
      <c r="IH241" s="21"/>
      <c r="II241" s="21"/>
      <c r="IJ241" s="21"/>
      <c r="IK241" s="21"/>
      <c r="IL241" s="21"/>
      <c r="IM241" s="21"/>
      <c r="IN241" s="21"/>
      <c r="IO241" s="168">
        <v>1684</v>
      </c>
      <c r="IP241" s="21"/>
      <c r="IQ241" s="21"/>
      <c r="IR241" s="21"/>
      <c r="IS241" s="21"/>
      <c r="IT241" s="21"/>
      <c r="IU241" s="168">
        <v>2230597</v>
      </c>
      <c r="IV241" s="168">
        <v>1000508</v>
      </c>
      <c r="IW241" s="168">
        <v>2333942</v>
      </c>
      <c r="IX241" s="168">
        <v>1171771</v>
      </c>
      <c r="IY241" s="168">
        <v>-103346</v>
      </c>
      <c r="IZ241" s="168">
        <v>-171262</v>
      </c>
      <c r="JA241" s="168">
        <v>354168</v>
      </c>
      <c r="JB241" s="168">
        <v>343376</v>
      </c>
      <c r="JC241" s="21"/>
      <c r="JD241" s="21"/>
      <c r="JE241" s="21"/>
      <c r="JF241" s="21"/>
      <c r="JG241" s="168">
        <v>170331</v>
      </c>
      <c r="JH241" s="168">
        <v>112191</v>
      </c>
      <c r="JI241" s="168">
        <v>67651133</v>
      </c>
      <c r="JJ241" s="168">
        <v>63788457</v>
      </c>
      <c r="JK241" s="168">
        <v>192309</v>
      </c>
      <c r="JL241" s="168">
        <v>235126</v>
      </c>
      <c r="JM241" s="168">
        <v>69985075</v>
      </c>
      <c r="JN241" s="168">
        <v>64960228</v>
      </c>
      <c r="JO241" s="168">
        <v>88963</v>
      </c>
      <c r="JP241" s="168">
        <v>63864</v>
      </c>
      <c r="JQ241" s="168">
        <v>-1400103</v>
      </c>
      <c r="JR241" s="168">
        <v>-217759</v>
      </c>
      <c r="JS241" s="168">
        <v>-25838</v>
      </c>
      <c r="JT241" s="168">
        <v>4971</v>
      </c>
      <c r="JU241" s="21"/>
      <c r="JV241" s="21"/>
      <c r="JW241" s="168">
        <v>69026981</v>
      </c>
      <c r="JX241" s="168">
        <v>64378101</v>
      </c>
      <c r="JY241" s="21"/>
      <c r="JZ241" s="21"/>
      <c r="KA241" s="168">
        <v>7185964</v>
      </c>
      <c r="KB241" s="168">
        <v>6771433</v>
      </c>
      <c r="KC241" s="21"/>
      <c r="KD241" s="21"/>
      <c r="KE241" s="168">
        <v>1045646</v>
      </c>
      <c r="KF241" s="168">
        <v>915831</v>
      </c>
      <c r="KG241" s="21"/>
      <c r="KH241" s="21"/>
      <c r="KI241" s="168">
        <v>60996760</v>
      </c>
      <c r="KJ241" s="168">
        <v>56899176</v>
      </c>
      <c r="KK241" s="21"/>
      <c r="KL241" s="21"/>
      <c r="KM241" s="21"/>
      <c r="KN241" s="21"/>
      <c r="KO241" s="21"/>
      <c r="KP241" s="21"/>
      <c r="KQ241" s="168">
        <v>6088730</v>
      </c>
      <c r="KR241" s="168">
        <v>4934944</v>
      </c>
      <c r="KS241" s="21"/>
      <c r="KT241" s="21"/>
      <c r="KU241" s="21"/>
      <c r="KV241" s="21"/>
      <c r="KW241" s="21"/>
      <c r="KX241" s="21"/>
      <c r="KY241" s="21"/>
      <c r="KZ241" s="21"/>
      <c r="LA241" s="168">
        <v>7766400</v>
      </c>
      <c r="LB241" s="168">
        <v>7766400</v>
      </c>
      <c r="LC241" s="168">
        <v>2517</v>
      </c>
      <c r="LD241" s="168">
        <v>1799</v>
      </c>
      <c r="LE241" s="168">
        <v>312</v>
      </c>
      <c r="LF241" s="168">
        <v>447</v>
      </c>
      <c r="LG241" s="21"/>
      <c r="LH241" s="21"/>
      <c r="LI241" s="21"/>
      <c r="LJ241" s="21"/>
      <c r="LK241" s="168">
        <v>6477632</v>
      </c>
      <c r="LL241" s="168">
        <v>4379162</v>
      </c>
      <c r="LM241" s="21"/>
      <c r="LN241" s="21"/>
      <c r="LO241" s="21"/>
      <c r="LP241" s="21"/>
      <c r="LQ241" s="21"/>
      <c r="LR241" s="21"/>
      <c r="LS241" s="21"/>
      <c r="LT241" s="21"/>
      <c r="LU241" s="21"/>
      <c r="LV241" s="21"/>
      <c r="LW241" s="21"/>
      <c r="LX241" s="21"/>
      <c r="LY241" s="168">
        <v>18449</v>
      </c>
      <c r="LZ241" s="168">
        <v>18449</v>
      </c>
      <c r="MA241" s="21"/>
      <c r="MB241" s="21"/>
      <c r="MC241" s="168">
        <v>17670733</v>
      </c>
      <c r="MD241" s="168">
        <v>14435938</v>
      </c>
      <c r="ME241" s="21"/>
      <c r="MF241" s="21"/>
      <c r="MG241" s="21"/>
      <c r="MH241" s="21"/>
      <c r="MI241" s="168">
        <v>3085110</v>
      </c>
      <c r="MJ241" s="168">
        <v>3085110</v>
      </c>
      <c r="MK241" s="21"/>
      <c r="ML241" s="21"/>
      <c r="MM241" s="168">
        <v>6893</v>
      </c>
      <c r="MN241" s="168">
        <v>4270</v>
      </c>
      <c r="MO241" s="21"/>
      <c r="MP241" s="21"/>
      <c r="MQ241" s="168">
        <v>19967</v>
      </c>
      <c r="MR241" s="168">
        <v>144443</v>
      </c>
      <c r="MS241" s="21"/>
      <c r="MT241" s="21"/>
      <c r="MU241" s="21"/>
      <c r="MV241" s="21"/>
      <c r="MW241" s="21"/>
      <c r="MX241" s="21"/>
      <c r="MY241" s="21"/>
      <c r="MZ241" s="21"/>
      <c r="NA241" s="21"/>
      <c r="NB241" s="21"/>
      <c r="NC241" s="168">
        <v>1646064</v>
      </c>
      <c r="ND241" s="168">
        <v>2083386</v>
      </c>
      <c r="NE241" s="21"/>
      <c r="NF241" s="21"/>
      <c r="NG241" s="168">
        <v>15306267</v>
      </c>
      <c r="NH241" s="168">
        <v>14588928</v>
      </c>
      <c r="NI241" s="168">
        <v>92444</v>
      </c>
      <c r="NJ241" s="168">
        <v>-1</v>
      </c>
      <c r="NK241" s="168">
        <v>2829</v>
      </c>
      <c r="NL241" s="168">
        <v>2246</v>
      </c>
      <c r="NM241" s="168">
        <v>30443988</v>
      </c>
      <c r="NN241" s="168">
        <v>23754314</v>
      </c>
      <c r="NO241" s="168">
        <v>46326255</v>
      </c>
      <c r="NP241" s="168">
        <v>38945421</v>
      </c>
      <c r="NQ241" s="168" t="s">
        <v>1215</v>
      </c>
      <c r="NR241" s="168" t="s">
        <v>797</v>
      </c>
      <c r="NS241" s="168" t="s">
        <v>770</v>
      </c>
      <c r="NT241" s="168" t="s">
        <v>771</v>
      </c>
      <c r="NU241" s="168">
        <v>5902</v>
      </c>
      <c r="NV241" s="168" t="s">
        <v>2104</v>
      </c>
      <c r="NW241" s="168" t="s">
        <v>28</v>
      </c>
      <c r="NX241" s="168" t="s">
        <v>25</v>
      </c>
      <c r="NY241" s="169">
        <v>42825</v>
      </c>
      <c r="NZ241" s="169">
        <v>42460</v>
      </c>
      <c r="OA241" s="169">
        <v>42941</v>
      </c>
      <c r="OB241" s="168" t="s">
        <v>1216</v>
      </c>
      <c r="OC241" s="168">
        <v>12</v>
      </c>
      <c r="OD241" s="168" t="s">
        <v>2105</v>
      </c>
      <c r="OE241" s="168" t="s">
        <v>1217</v>
      </c>
      <c r="OF241" s="168" t="s">
        <v>2369</v>
      </c>
      <c r="OG241" s="168" t="s">
        <v>1926</v>
      </c>
      <c r="OH241" s="168" t="s">
        <v>940</v>
      </c>
      <c r="OI241" s="168" t="s">
        <v>766</v>
      </c>
      <c r="OJ241" s="168" t="s">
        <v>3240</v>
      </c>
      <c r="OK241" s="168" t="s">
        <v>796</v>
      </c>
    </row>
    <row r="242" spans="1:401" x14ac:dyDescent="0.2">
      <c r="A242" s="170" t="str">
        <f>Liste[[#This Row],[Siren]]</f>
        <v>652048281</v>
      </c>
      <c r="B242" s="198" t="str">
        <f>Liste[[#This Row],[Dénomination]]&amp;" - comptes "&amp;YEAR(Liste[[#This Row],[Date de cloture de l''exercice]])</f>
        <v>PETROSSIAN S.A - comptes 2017</v>
      </c>
      <c r="C242" s="21"/>
      <c r="D242" s="21"/>
      <c r="E242" s="21"/>
      <c r="F242" s="168">
        <v>1342000</v>
      </c>
      <c r="G242" s="168">
        <v>1333000</v>
      </c>
      <c r="H242" s="168">
        <v>1342000</v>
      </c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168">
        <v>664000</v>
      </c>
      <c r="BY242" s="168">
        <v>2708000</v>
      </c>
      <c r="BZ242" s="168">
        <v>664000</v>
      </c>
      <c r="CA242" s="21"/>
      <c r="CB242" s="21"/>
      <c r="CC242" s="21"/>
      <c r="CD242" s="168">
        <v>408000</v>
      </c>
      <c r="CE242" s="21"/>
      <c r="CF242" s="21"/>
      <c r="CG242" s="168">
        <v>408000</v>
      </c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168">
        <v>19837000</v>
      </c>
      <c r="EL242" s="168">
        <v>4496000</v>
      </c>
      <c r="EM242" s="168">
        <v>4817000</v>
      </c>
      <c r="EN242" s="168">
        <v>24333000</v>
      </c>
      <c r="EO242" s="168">
        <v>1054000</v>
      </c>
      <c r="EP242" s="168">
        <v>12576000</v>
      </c>
      <c r="EQ242" s="168">
        <v>13705000</v>
      </c>
      <c r="ER242" s="168">
        <v>13629000</v>
      </c>
      <c r="ES242" s="168">
        <v>20890000</v>
      </c>
      <c r="ET242" s="168">
        <v>18011000</v>
      </c>
      <c r="EU242" s="168">
        <v>19290000</v>
      </c>
      <c r="EV242" s="168">
        <v>38902000</v>
      </c>
      <c r="EW242" s="21"/>
      <c r="EX242" s="21"/>
      <c r="EY242" s="21"/>
      <c r="EZ242" s="21"/>
      <c r="FA242" s="21"/>
      <c r="FB242" s="21"/>
      <c r="FC242" s="21"/>
      <c r="FD242" s="21"/>
      <c r="FE242" s="21"/>
      <c r="FF242" s="21"/>
      <c r="FG242" s="21"/>
      <c r="FH242" s="21"/>
      <c r="FI242" s="168">
        <v>43000</v>
      </c>
      <c r="FJ242" s="168">
        <v>-2000</v>
      </c>
      <c r="FK242" s="21"/>
      <c r="FL242" s="21"/>
      <c r="FM242" s="21"/>
      <c r="FN242" s="21"/>
      <c r="FO242" s="21"/>
      <c r="FP242" s="21"/>
      <c r="FQ242" s="21"/>
      <c r="FR242" s="21"/>
      <c r="FS242" s="21"/>
      <c r="FT242" s="21"/>
      <c r="FU242" s="21"/>
      <c r="FV242" s="21"/>
      <c r="FW242" s="168">
        <v>523000</v>
      </c>
      <c r="FX242" s="168">
        <v>356000</v>
      </c>
      <c r="FY242" s="168">
        <v>122000</v>
      </c>
      <c r="FZ242" s="168">
        <v>131000</v>
      </c>
      <c r="GA242" s="21"/>
      <c r="GB242" s="21"/>
      <c r="GC242" s="21"/>
      <c r="GD242" s="21"/>
      <c r="GE242" s="21"/>
      <c r="GF242" s="21"/>
      <c r="GG242" s="21"/>
      <c r="GH242" s="21"/>
      <c r="GI242" s="21"/>
      <c r="GJ242" s="21"/>
      <c r="GK242" s="21"/>
      <c r="GL242" s="21"/>
      <c r="GM242" s="168">
        <v>844000</v>
      </c>
      <c r="GN242" s="168">
        <v>1009000</v>
      </c>
      <c r="GO242" s="21"/>
      <c r="GP242" s="21"/>
      <c r="GQ242" s="21"/>
      <c r="GR242" s="21"/>
      <c r="GS242" s="168">
        <v>722000</v>
      </c>
      <c r="GT242" s="168">
        <v>878000</v>
      </c>
      <c r="GU242" s="168">
        <v>110000</v>
      </c>
      <c r="GV242" s="168">
        <v>41000</v>
      </c>
      <c r="GW242" s="168">
        <v>153000</v>
      </c>
      <c r="GX242" s="168">
        <v>39000</v>
      </c>
      <c r="GY242" s="21"/>
      <c r="GZ242" s="21"/>
      <c r="HA242" s="21"/>
      <c r="HB242" s="21"/>
      <c r="HC242" s="168">
        <v>11293000</v>
      </c>
      <c r="HD242" s="168">
        <v>11021000</v>
      </c>
      <c r="HE242" s="168">
        <v>757000</v>
      </c>
      <c r="HF242" s="168">
        <v>626000</v>
      </c>
      <c r="HG242" s="21"/>
      <c r="HH242" s="21"/>
      <c r="HI242" s="21"/>
      <c r="HJ242" s="21"/>
      <c r="HK242" s="21"/>
      <c r="HL242" s="21"/>
      <c r="HM242" s="21"/>
      <c r="HN242" s="21"/>
      <c r="HO242" s="21"/>
      <c r="HP242" s="21"/>
      <c r="HQ242" s="21"/>
      <c r="HR242" s="21"/>
      <c r="HS242" s="21"/>
      <c r="HT242" s="21"/>
      <c r="HU242" s="21"/>
      <c r="HV242" s="21"/>
      <c r="HW242" s="21"/>
      <c r="HX242" s="21"/>
      <c r="HY242" s="21"/>
      <c r="HZ242" s="21"/>
      <c r="IA242" s="21"/>
      <c r="IB242" s="21"/>
      <c r="IC242" s="21"/>
      <c r="ID242" s="21"/>
      <c r="IE242" s="168">
        <v>357000</v>
      </c>
      <c r="IF242" s="168">
        <v>346000</v>
      </c>
      <c r="IG242" s="21"/>
      <c r="IH242" s="21"/>
      <c r="II242" s="21"/>
      <c r="IJ242" s="21"/>
      <c r="IK242" s="21"/>
      <c r="IL242" s="21"/>
      <c r="IM242" s="168">
        <v>147000</v>
      </c>
      <c r="IN242" s="168">
        <v>122000</v>
      </c>
      <c r="IO242" s="21"/>
      <c r="IP242" s="21"/>
      <c r="IQ242" s="21"/>
      <c r="IR242" s="21"/>
      <c r="IS242" s="21"/>
      <c r="IT242" s="21"/>
      <c r="IU242" s="168">
        <v>1324000</v>
      </c>
      <c r="IV242" s="168">
        <v>1366000</v>
      </c>
      <c r="IW242" s="168">
        <v>1315000</v>
      </c>
      <c r="IX242" s="168">
        <v>1384000</v>
      </c>
      <c r="IY242" s="168">
        <v>9000</v>
      </c>
      <c r="IZ242" s="168">
        <v>-18000</v>
      </c>
      <c r="JA242" s="21"/>
      <c r="JB242" s="21"/>
      <c r="JC242" s="21"/>
      <c r="JD242" s="21"/>
      <c r="JE242" s="21"/>
      <c r="JF242" s="21"/>
      <c r="JG242" s="21"/>
      <c r="JH242" s="21"/>
      <c r="JI242" s="168">
        <v>41133000</v>
      </c>
      <c r="JJ242" s="168">
        <v>39610000</v>
      </c>
      <c r="JK242" s="168">
        <v>290000</v>
      </c>
      <c r="JL242" s="168">
        <v>583000</v>
      </c>
      <c r="JM242" s="168">
        <v>42448000</v>
      </c>
      <c r="JN242" s="168">
        <v>40994000</v>
      </c>
      <c r="JO242" s="168">
        <v>299000</v>
      </c>
      <c r="JP242" s="168">
        <v>565000</v>
      </c>
      <c r="JQ242" s="21"/>
      <c r="JR242" s="21"/>
      <c r="JS242" s="21"/>
      <c r="JT242" s="21"/>
      <c r="JU242" s="21"/>
      <c r="JV242" s="21"/>
      <c r="JW242" s="168">
        <v>41818000</v>
      </c>
      <c r="JX242" s="168">
        <v>40436000</v>
      </c>
      <c r="JY242" s="21"/>
      <c r="JZ242" s="21"/>
      <c r="KA242" s="21"/>
      <c r="KB242" s="21"/>
      <c r="KC242" s="21"/>
      <c r="KD242" s="21"/>
      <c r="KE242" s="21"/>
      <c r="KF242" s="21"/>
      <c r="KG242" s="21"/>
      <c r="KH242" s="21"/>
      <c r="KI242" s="21"/>
      <c r="KJ242" s="21"/>
      <c r="KK242" s="21"/>
      <c r="KL242" s="21"/>
      <c r="KM242" s="21"/>
      <c r="KN242" s="21"/>
      <c r="KO242" s="21"/>
      <c r="KP242" s="21"/>
      <c r="KQ242" s="168">
        <v>171000</v>
      </c>
      <c r="KR242" s="168">
        <v>330000</v>
      </c>
      <c r="KS242" s="21"/>
      <c r="KT242" s="21"/>
      <c r="KU242" s="21"/>
      <c r="KV242" s="21"/>
      <c r="KW242" s="21"/>
      <c r="KX242" s="21"/>
      <c r="KY242" s="21"/>
      <c r="KZ242" s="21"/>
      <c r="LA242" s="168">
        <v>164000</v>
      </c>
      <c r="LB242" s="168">
        <v>164000</v>
      </c>
      <c r="LC242" s="21"/>
      <c r="LD242" s="21"/>
      <c r="LE242" s="21"/>
      <c r="LF242" s="21"/>
      <c r="LG242" s="21"/>
      <c r="LH242" s="21"/>
      <c r="LI242" s="168">
        <v>2475000</v>
      </c>
      <c r="LJ242" s="168">
        <v>2477000</v>
      </c>
      <c r="LK242" s="168">
        <v>3367000</v>
      </c>
      <c r="LL242" s="168">
        <v>3557000</v>
      </c>
      <c r="LM242" s="21"/>
      <c r="LN242" s="21"/>
      <c r="LO242" s="21"/>
      <c r="LP242" s="21"/>
      <c r="LQ242" s="21"/>
      <c r="LR242" s="21"/>
      <c r="LS242" s="21"/>
      <c r="LT242" s="21"/>
      <c r="LU242" s="168">
        <v>69000</v>
      </c>
      <c r="LV242" s="168">
        <v>-45000</v>
      </c>
      <c r="LW242" s="21"/>
      <c r="LX242" s="21"/>
      <c r="LY242" s="21"/>
      <c r="LZ242" s="21"/>
      <c r="MA242" s="21"/>
      <c r="MB242" s="21"/>
      <c r="MC242" s="168">
        <v>4289000</v>
      </c>
      <c r="MD242" s="168">
        <v>6135000</v>
      </c>
      <c r="ME242" s="21"/>
      <c r="MF242" s="21"/>
      <c r="MG242" s="21"/>
      <c r="MH242" s="21"/>
      <c r="MI242" s="168">
        <v>720000</v>
      </c>
      <c r="MJ242" s="168">
        <v>720000</v>
      </c>
      <c r="MK242" s="21"/>
      <c r="ML242" s="21"/>
      <c r="MM242" s="21"/>
      <c r="MN242" s="21"/>
      <c r="MO242" s="21"/>
      <c r="MP242" s="21"/>
      <c r="MQ242" s="21"/>
      <c r="MR242" s="21"/>
      <c r="MS242" s="21"/>
      <c r="MT242" s="21"/>
      <c r="MU242" s="21"/>
      <c r="MV242" s="21"/>
      <c r="MW242" s="21"/>
      <c r="MX242" s="21"/>
      <c r="MY242" s="21"/>
      <c r="MZ242" s="21"/>
      <c r="NA242" s="21"/>
      <c r="NB242" s="21"/>
      <c r="NC242" s="21"/>
      <c r="ND242" s="21"/>
      <c r="NE242" s="168">
        <v>23000</v>
      </c>
      <c r="NF242" s="168">
        <v>31000</v>
      </c>
      <c r="NG242" s="168">
        <v>7257000</v>
      </c>
      <c r="NH242" s="168">
        <v>6393000</v>
      </c>
      <c r="NI242" s="21"/>
      <c r="NJ242" s="21"/>
      <c r="NK242" s="21"/>
      <c r="NL242" s="21"/>
      <c r="NM242" s="168">
        <v>10301000</v>
      </c>
      <c r="NN242" s="168">
        <v>12499000</v>
      </c>
      <c r="NO242" s="168">
        <v>18011000</v>
      </c>
      <c r="NP242" s="168">
        <v>19290000</v>
      </c>
      <c r="NQ242" s="168" t="s">
        <v>782</v>
      </c>
      <c r="NR242" s="168" t="s">
        <v>1231</v>
      </c>
      <c r="NS242" s="168" t="s">
        <v>770</v>
      </c>
      <c r="NT242" s="168" t="s">
        <v>771</v>
      </c>
      <c r="NU242" s="168">
        <v>7501</v>
      </c>
      <c r="NV242" s="168" t="s">
        <v>2104</v>
      </c>
      <c r="NW242" s="168" t="s">
        <v>28</v>
      </c>
      <c r="NX242" s="168" t="s">
        <v>25</v>
      </c>
      <c r="NY242" s="169">
        <v>42825</v>
      </c>
      <c r="NZ242" s="169">
        <v>42460</v>
      </c>
      <c r="OA242" s="169">
        <v>43095</v>
      </c>
      <c r="OB242" s="168" t="s">
        <v>3419</v>
      </c>
      <c r="OC242" s="168">
        <v>12</v>
      </c>
      <c r="OD242" s="168" t="s">
        <v>2105</v>
      </c>
      <c r="OE242" s="168" t="s">
        <v>2122</v>
      </c>
      <c r="OF242" s="168" t="s">
        <v>3420</v>
      </c>
      <c r="OG242" s="168" t="s">
        <v>3421</v>
      </c>
      <c r="OH242" s="168" t="s">
        <v>765</v>
      </c>
      <c r="OI242" s="168" t="s">
        <v>766</v>
      </c>
      <c r="OJ242" s="168" t="s">
        <v>3240</v>
      </c>
      <c r="OK242" s="168" t="s">
        <v>1230</v>
      </c>
    </row>
    <row r="243" spans="1:401" x14ac:dyDescent="0.2">
      <c r="A243" s="170" t="str">
        <f>Liste[[#This Row],[Siren]]</f>
        <v>409771292</v>
      </c>
      <c r="B243" s="198" t="str">
        <f>Liste[[#This Row],[Dénomination]]&amp;" - comptes "&amp;YEAR(Liste[[#This Row],[Date de cloture de l''exercice]])</f>
        <v>FARINIA SA - comptes 2017</v>
      </c>
      <c r="C243" s="21"/>
      <c r="D243" s="21"/>
      <c r="E243" s="21"/>
      <c r="F243" s="168">
        <v>17417000</v>
      </c>
      <c r="G243" s="168">
        <v>14459000</v>
      </c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168">
        <v>37708000</v>
      </c>
      <c r="BE243" s="168">
        <v>35341000</v>
      </c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168">
        <v>57605000</v>
      </c>
      <c r="BY243" s="168">
        <v>57096000</v>
      </c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168">
        <v>75207000</v>
      </c>
      <c r="EM243" s="168">
        <v>72393000</v>
      </c>
      <c r="EN243" s="21"/>
      <c r="EO243" s="21"/>
      <c r="EP243" s="168">
        <v>143345000</v>
      </c>
      <c r="EQ243" s="168">
        <v>133355000</v>
      </c>
      <c r="ER243" s="21"/>
      <c r="ES243" s="21"/>
      <c r="ET243" s="168">
        <v>218552000</v>
      </c>
      <c r="EU243" s="168">
        <v>205748000</v>
      </c>
      <c r="EV243" s="21"/>
      <c r="EW243" s="21"/>
      <c r="EX243" s="21"/>
      <c r="EY243" s="21"/>
      <c r="EZ243" s="21"/>
      <c r="FA243" s="21"/>
      <c r="FB243" s="21"/>
      <c r="FC243" s="21"/>
      <c r="FD243" s="21"/>
      <c r="FE243" s="21"/>
      <c r="FF243" s="21"/>
      <c r="FG243" s="21"/>
      <c r="FH243" s="21"/>
      <c r="FI243" s="168">
        <v>-271000</v>
      </c>
      <c r="FJ243" s="168">
        <v>279000</v>
      </c>
      <c r="FK243" s="21"/>
      <c r="FL243" s="21"/>
      <c r="FM243" s="21"/>
      <c r="FN243" s="21"/>
      <c r="FO243" s="21"/>
      <c r="FP243" s="21"/>
      <c r="FQ243" s="21"/>
      <c r="FR243" s="21"/>
      <c r="FS243" s="21"/>
      <c r="FT243" s="21"/>
      <c r="FU243" s="21"/>
      <c r="FV243" s="21"/>
      <c r="FW243" s="168">
        <v>620000</v>
      </c>
      <c r="FX243" s="168">
        <v>888000</v>
      </c>
      <c r="FY243" s="168">
        <v>3000</v>
      </c>
      <c r="FZ243" s="168">
        <v>-212000</v>
      </c>
      <c r="GA243" s="21"/>
      <c r="GB243" s="21"/>
      <c r="GC243" s="21"/>
      <c r="GD243" s="21"/>
      <c r="GE243" s="21"/>
      <c r="GF243" s="21"/>
      <c r="GG243" s="21"/>
      <c r="GH243" s="21"/>
      <c r="GI243" s="21"/>
      <c r="GJ243" s="21"/>
      <c r="GK243" s="21"/>
      <c r="GL243" s="21"/>
      <c r="GM243" s="21"/>
      <c r="GN243" s="21"/>
      <c r="GO243" s="168">
        <v>110000</v>
      </c>
      <c r="GP243" s="168">
        <v>699000</v>
      </c>
      <c r="GQ243" s="21"/>
      <c r="GR243" s="168">
        <v>-332000</v>
      </c>
      <c r="GS243" s="168">
        <v>114000</v>
      </c>
      <c r="GT243" s="168">
        <v>487000</v>
      </c>
      <c r="GU243" s="21"/>
      <c r="GV243" s="21"/>
      <c r="GW243" s="21"/>
      <c r="GX243" s="21"/>
      <c r="GY243" s="21"/>
      <c r="GZ243" s="21"/>
      <c r="HA243" s="21"/>
      <c r="HB243" s="21"/>
      <c r="HC243" s="21"/>
      <c r="HD243" s="21"/>
      <c r="HE243" s="168">
        <v>58765000</v>
      </c>
      <c r="HF243" s="168">
        <v>59315000</v>
      </c>
      <c r="HG243" s="21"/>
      <c r="HH243" s="21"/>
      <c r="HI243" s="168">
        <v>7171000</v>
      </c>
      <c r="HJ243" s="168">
        <v>3352000</v>
      </c>
      <c r="HK243" s="21"/>
      <c r="HL243" s="21"/>
      <c r="HM243" s="21"/>
      <c r="HN243" s="21"/>
      <c r="HO243" s="21"/>
      <c r="HP243" s="21"/>
      <c r="HQ243" s="21"/>
      <c r="HR243" s="21"/>
      <c r="HS243" s="21"/>
      <c r="HT243" s="21"/>
      <c r="HU243" s="168">
        <v>13493000</v>
      </c>
      <c r="HV243" s="168">
        <v>13547000</v>
      </c>
      <c r="HW243" s="21"/>
      <c r="HX243" s="21"/>
      <c r="HY243" s="21"/>
      <c r="HZ243" s="21"/>
      <c r="IA243" s="21"/>
      <c r="IB243" s="21"/>
      <c r="IC243" s="21"/>
      <c r="ID243" s="21"/>
      <c r="IE243" s="21"/>
      <c r="IF243" s="21"/>
      <c r="IG243" s="21"/>
      <c r="IH243" s="21"/>
      <c r="II243" s="21"/>
      <c r="IJ243" s="21"/>
      <c r="IK243" s="21"/>
      <c r="IL243" s="21"/>
      <c r="IM243" s="21"/>
      <c r="IN243" s="21"/>
      <c r="IO243" s="21"/>
      <c r="IP243" s="21"/>
      <c r="IQ243" s="21"/>
      <c r="IR243" s="21"/>
      <c r="IS243" s="21"/>
      <c r="IT243" s="21"/>
      <c r="IU243" s="168">
        <v>-239000</v>
      </c>
      <c r="IV243" s="168">
        <v>-136000</v>
      </c>
      <c r="IW243" s="168">
        <v>2085000</v>
      </c>
      <c r="IX243" s="168">
        <v>2193000</v>
      </c>
      <c r="IY243" s="168">
        <v>-2324000</v>
      </c>
      <c r="IZ243" s="168">
        <v>-2329000</v>
      </c>
      <c r="JA243" s="21"/>
      <c r="JB243" s="21"/>
      <c r="JC243" s="21"/>
      <c r="JD243" s="21"/>
      <c r="JE243" s="21"/>
      <c r="JF243" s="21"/>
      <c r="JG243" s="21"/>
      <c r="JH243" s="21"/>
      <c r="JI243" s="168">
        <v>228520000</v>
      </c>
      <c r="JJ243" s="168">
        <v>225774000</v>
      </c>
      <c r="JK243" s="168">
        <v>2522000</v>
      </c>
      <c r="JL243" s="168">
        <v>2719000</v>
      </c>
      <c r="JM243" s="168">
        <v>230605000</v>
      </c>
      <c r="JN243" s="168">
        <v>227967000</v>
      </c>
      <c r="JO243" s="168">
        <v>198000</v>
      </c>
      <c r="JP243" s="168">
        <v>390000</v>
      </c>
      <c r="JQ243" s="21"/>
      <c r="JR243" s="21"/>
      <c r="JS243" s="21"/>
      <c r="JT243" s="21"/>
      <c r="JU243" s="21"/>
      <c r="JV243" s="21"/>
      <c r="JW243" s="168">
        <v>223434000</v>
      </c>
      <c r="JX243" s="168">
        <v>224615000</v>
      </c>
      <c r="JY243" s="21"/>
      <c r="JZ243" s="21"/>
      <c r="KA243" s="21"/>
      <c r="KB243" s="21"/>
      <c r="KC243" s="21"/>
      <c r="KD243" s="21"/>
      <c r="KE243" s="21"/>
      <c r="KF243" s="21"/>
      <c r="KG243" s="21"/>
      <c r="KH243" s="21"/>
      <c r="KI243" s="21"/>
      <c r="KJ243" s="21"/>
      <c r="KK243" s="21"/>
      <c r="KL243" s="21"/>
      <c r="KM243" s="21"/>
      <c r="KN243" s="21"/>
      <c r="KO243" s="21"/>
      <c r="KP243" s="21"/>
      <c r="KQ243" s="168">
        <v>19469000</v>
      </c>
      <c r="KR243" s="168">
        <v>18400000</v>
      </c>
      <c r="KS243" s="21"/>
      <c r="KT243" s="21"/>
      <c r="KU243" s="21"/>
      <c r="KV243" s="21"/>
      <c r="KW243" s="21"/>
      <c r="KX243" s="21"/>
      <c r="KY243" s="21"/>
      <c r="KZ243" s="21"/>
      <c r="LA243" s="168">
        <v>11005000</v>
      </c>
      <c r="LB243" s="168">
        <v>11005000</v>
      </c>
      <c r="LC243" s="21"/>
      <c r="LD243" s="21"/>
      <c r="LE243" s="21"/>
      <c r="LF243" s="21"/>
      <c r="LG243" s="21"/>
      <c r="LH243" s="21"/>
      <c r="LI243" s="21"/>
      <c r="LJ243" s="21"/>
      <c r="LK243" s="21"/>
      <c r="LL243" s="21"/>
      <c r="LM243" s="21"/>
      <c r="LN243" s="21"/>
      <c r="LO243" s="21"/>
      <c r="LP243" s="21"/>
      <c r="LQ243" s="21"/>
      <c r="LR243" s="21"/>
      <c r="LS243" s="21"/>
      <c r="LT243" s="21"/>
      <c r="LU243" s="21"/>
      <c r="LV243" s="21"/>
      <c r="LW243" s="21"/>
      <c r="LX243" s="21"/>
      <c r="LY243" s="21"/>
      <c r="LZ243" s="21"/>
      <c r="MA243" s="21"/>
      <c r="MB243" s="21"/>
      <c r="MC243" s="168">
        <v>70253000</v>
      </c>
      <c r="MD243" s="168">
        <v>66665000</v>
      </c>
      <c r="ME243" s="21"/>
      <c r="MF243" s="21"/>
      <c r="MG243" s="21"/>
      <c r="MH243" s="21"/>
      <c r="MI243" s="21"/>
      <c r="MJ243" s="21"/>
      <c r="MK243" s="21"/>
      <c r="ML243" s="21"/>
      <c r="MM243" s="21"/>
      <c r="MN243" s="21"/>
      <c r="MO243" s="21"/>
      <c r="MP243" s="21"/>
      <c r="MQ243" s="21"/>
      <c r="MR243" s="21"/>
      <c r="MS243" s="21"/>
      <c r="MT243" s="21"/>
      <c r="MU243" s="21"/>
      <c r="MV243" s="21"/>
      <c r="MW243" s="21"/>
      <c r="MX243" s="21"/>
      <c r="MY243" s="21"/>
      <c r="MZ243" s="21"/>
      <c r="NA243" s="21"/>
      <c r="NB243" s="21"/>
      <c r="NC243" s="168">
        <v>114000</v>
      </c>
      <c r="ND243" s="168">
        <v>487000</v>
      </c>
      <c r="NE243" s="21"/>
      <c r="NF243" s="21"/>
      <c r="NG243" s="168">
        <v>61172000</v>
      </c>
      <c r="NH243" s="168">
        <v>61049000</v>
      </c>
      <c r="NI243" s="168">
        <v>3908000</v>
      </c>
      <c r="NJ243" s="168">
        <v>3829000</v>
      </c>
      <c r="NK243" s="168">
        <v>10000000</v>
      </c>
      <c r="NL243" s="168">
        <v>10000000</v>
      </c>
      <c r="NM243" s="21"/>
      <c r="NN243" s="21"/>
      <c r="NO243" s="168">
        <v>218552000</v>
      </c>
      <c r="NP243" s="168">
        <v>205748000</v>
      </c>
      <c r="NQ243" s="168" t="s">
        <v>836</v>
      </c>
      <c r="NR243" s="168" t="s">
        <v>769</v>
      </c>
      <c r="NS243" s="168" t="s">
        <v>770</v>
      </c>
      <c r="NT243" s="168" t="s">
        <v>771</v>
      </c>
      <c r="NU243" s="168">
        <v>7501</v>
      </c>
      <c r="NV243" s="168" t="s">
        <v>2104</v>
      </c>
      <c r="NW243" s="168" t="s">
        <v>28</v>
      </c>
      <c r="NX243" s="168" t="s">
        <v>25</v>
      </c>
      <c r="NY243" s="169">
        <v>42825</v>
      </c>
      <c r="NZ243" s="169">
        <v>42460</v>
      </c>
      <c r="OA243" s="169">
        <v>43087</v>
      </c>
      <c r="OB243" s="168" t="s">
        <v>1482</v>
      </c>
      <c r="OC243" s="168">
        <v>12</v>
      </c>
      <c r="OD243" s="168" t="s">
        <v>2106</v>
      </c>
      <c r="OE243" s="168" t="s">
        <v>2577</v>
      </c>
      <c r="OF243" s="168" t="s">
        <v>2578</v>
      </c>
      <c r="OG243" s="168" t="s">
        <v>2044</v>
      </c>
      <c r="OH243" s="168" t="s">
        <v>765</v>
      </c>
      <c r="OI243" s="168" t="s">
        <v>766</v>
      </c>
      <c r="OJ243" s="168" t="s">
        <v>3240</v>
      </c>
      <c r="OK243" s="168" t="s">
        <v>767</v>
      </c>
    </row>
    <row r="244" spans="1:401" x14ac:dyDescent="0.2">
      <c r="A244" s="170" t="str">
        <f>Liste[[#This Row],[Siren]]</f>
        <v>403237167</v>
      </c>
      <c r="B244" s="198" t="str">
        <f>Liste[[#This Row],[Dénomination]]&amp;" - comptes "&amp;YEAR(Liste[[#This Row],[Date de cloture de l''exercice]])</f>
        <v>GEFICAR - comptes 2017</v>
      </c>
      <c r="C244" s="21"/>
      <c r="D244" s="21"/>
      <c r="E244" s="21"/>
      <c r="F244" s="168">
        <v>2316885</v>
      </c>
      <c r="G244" s="168">
        <v>1452611</v>
      </c>
      <c r="H244" s="168">
        <v>2316885</v>
      </c>
      <c r="I244" s="168">
        <v>1414434</v>
      </c>
      <c r="J244" s="168">
        <v>453197</v>
      </c>
      <c r="K244" s="168">
        <v>471089</v>
      </c>
      <c r="L244" s="168">
        <v>1867631</v>
      </c>
      <c r="M244" s="21"/>
      <c r="N244" s="168">
        <v>35772</v>
      </c>
      <c r="O244" s="168">
        <v>35772</v>
      </c>
      <c r="P244" s="168">
        <v>35772</v>
      </c>
      <c r="Q244" s="168">
        <v>134025</v>
      </c>
      <c r="R244" s="168">
        <v>14832</v>
      </c>
      <c r="S244" s="168">
        <v>16519</v>
      </c>
      <c r="T244" s="168">
        <v>148857</v>
      </c>
      <c r="U244" s="21"/>
      <c r="V244" s="21"/>
      <c r="W244" s="21"/>
      <c r="X244" s="21"/>
      <c r="Y244" s="21"/>
      <c r="Z244" s="168">
        <v>2773040</v>
      </c>
      <c r="AA244" s="168">
        <v>2702315</v>
      </c>
      <c r="AB244" s="168">
        <v>2773040</v>
      </c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168">
        <v>266294</v>
      </c>
      <c r="BA244" s="168">
        <v>187448</v>
      </c>
      <c r="BB244" s="168">
        <v>266294</v>
      </c>
      <c r="BC244" s="168">
        <v>22290</v>
      </c>
      <c r="BD244" s="168">
        <v>1110192</v>
      </c>
      <c r="BE244" s="168">
        <v>1042835</v>
      </c>
      <c r="BF244" s="168">
        <v>1132482</v>
      </c>
      <c r="BG244" s="21"/>
      <c r="BH244" s="21"/>
      <c r="BI244" s="21"/>
      <c r="BJ244" s="21"/>
      <c r="BK244" s="168">
        <v>5217569</v>
      </c>
      <c r="BL244" s="168">
        <v>6039306</v>
      </c>
      <c r="BM244" s="168">
        <v>427234</v>
      </c>
      <c r="BN244" s="168">
        <v>11256874</v>
      </c>
      <c r="BO244" s="21"/>
      <c r="BP244" s="168">
        <v>7470</v>
      </c>
      <c r="BQ244" s="168">
        <v>7470</v>
      </c>
      <c r="BR244" s="168">
        <v>7470</v>
      </c>
      <c r="BS244" s="21"/>
      <c r="BT244" s="21"/>
      <c r="BU244" s="21"/>
      <c r="BV244" s="21"/>
      <c r="BW244" s="21"/>
      <c r="BX244" s="168">
        <v>693477</v>
      </c>
      <c r="BY244" s="168">
        <v>1321129</v>
      </c>
      <c r="BZ244" s="168">
        <v>693477</v>
      </c>
      <c r="CA244" s="21"/>
      <c r="CB244" s="21"/>
      <c r="CC244" s="21"/>
      <c r="CD244" s="168">
        <v>12908070</v>
      </c>
      <c r="CE244" s="21"/>
      <c r="CF244" s="21"/>
      <c r="CG244" s="168">
        <v>12908070</v>
      </c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168">
        <v>1553219</v>
      </c>
      <c r="DG244" s="168">
        <v>1525242</v>
      </c>
      <c r="DH244" s="168">
        <v>393645</v>
      </c>
      <c r="DI244" s="168">
        <v>3078461</v>
      </c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168">
        <v>19818</v>
      </c>
      <c r="DX244" s="168">
        <v>20618</v>
      </c>
      <c r="DY244" s="168">
        <v>19818</v>
      </c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168">
        <v>21227316</v>
      </c>
      <c r="EL244" s="168">
        <v>12336237</v>
      </c>
      <c r="EM244" s="168">
        <v>6040671</v>
      </c>
      <c r="EN244" s="168">
        <v>33563553</v>
      </c>
      <c r="EO244" s="168">
        <v>22290</v>
      </c>
      <c r="EP244" s="168">
        <v>9735392</v>
      </c>
      <c r="EQ244" s="168">
        <v>9010970</v>
      </c>
      <c r="ER244" s="168">
        <v>9757682</v>
      </c>
      <c r="ES244" s="168">
        <v>21249606</v>
      </c>
      <c r="ET244" s="168">
        <v>22337923</v>
      </c>
      <c r="EU244" s="168">
        <v>15239090</v>
      </c>
      <c r="EV244" s="168">
        <v>43587529</v>
      </c>
      <c r="EW244" s="21"/>
      <c r="EX244" s="168">
        <v>1431111</v>
      </c>
      <c r="EY244" s="168">
        <v>1431111</v>
      </c>
      <c r="EZ244" s="168">
        <v>1431111</v>
      </c>
      <c r="FA244" s="21"/>
      <c r="FB244" s="21"/>
      <c r="FC244" s="21"/>
      <c r="FD244" s="21"/>
      <c r="FE244" s="21"/>
      <c r="FF244" s="21"/>
      <c r="FG244" s="21"/>
      <c r="FH244" s="21"/>
      <c r="FI244" s="168">
        <v>-45921</v>
      </c>
      <c r="FJ244" s="168">
        <v>-194411</v>
      </c>
      <c r="FK244" s="168">
        <v>861299</v>
      </c>
      <c r="FL244" s="168">
        <v>812607</v>
      </c>
      <c r="FM244" s="21"/>
      <c r="FN244" s="21"/>
      <c r="FO244" s="21"/>
      <c r="FP244" s="21"/>
      <c r="FQ244" s="21"/>
      <c r="FR244" s="168">
        <v>400723</v>
      </c>
      <c r="FS244" s="21"/>
      <c r="FT244" s="21"/>
      <c r="FU244" s="168">
        <v>6465</v>
      </c>
      <c r="FV244" s="168">
        <v>8404</v>
      </c>
      <c r="FW244" s="168">
        <v>363880</v>
      </c>
      <c r="FX244" s="168">
        <v>330552</v>
      </c>
      <c r="FY244" s="168">
        <v>15907</v>
      </c>
      <c r="FZ244" s="168">
        <v>10866</v>
      </c>
      <c r="GA244" s="168">
        <v>96050</v>
      </c>
      <c r="GB244" s="168">
        <v>105810</v>
      </c>
      <c r="GC244" s="21"/>
      <c r="GD244" s="21"/>
      <c r="GE244" s="21"/>
      <c r="GF244" s="21"/>
      <c r="GG244" s="21"/>
      <c r="GH244" s="21"/>
      <c r="GI244" s="21"/>
      <c r="GJ244" s="21"/>
      <c r="GK244" s="21"/>
      <c r="GL244" s="21"/>
      <c r="GM244" s="168">
        <v>845391</v>
      </c>
      <c r="GN244" s="168">
        <v>481018</v>
      </c>
      <c r="GO244" s="21"/>
      <c r="GP244" s="21"/>
      <c r="GQ244" s="21"/>
      <c r="GR244" s="21"/>
      <c r="GS244" s="21"/>
      <c r="GT244" s="21"/>
      <c r="GU244" s="168">
        <v>-65725</v>
      </c>
      <c r="GV244" s="168">
        <v>-348780</v>
      </c>
      <c r="GW244" s="168">
        <v>19805</v>
      </c>
      <c r="GX244" s="168">
        <v>154370</v>
      </c>
      <c r="GY244" s="168">
        <v>50197271</v>
      </c>
      <c r="GZ244" s="168">
        <v>51182160</v>
      </c>
      <c r="HA244" s="168">
        <v>86734</v>
      </c>
      <c r="HB244" s="168">
        <v>99252</v>
      </c>
      <c r="HC244" s="168">
        <v>3576653</v>
      </c>
      <c r="HD244" s="168">
        <v>3557563</v>
      </c>
      <c r="HE244" s="168">
        <v>25678</v>
      </c>
      <c r="HF244" s="168">
        <v>28009</v>
      </c>
      <c r="HG244" s="168">
        <v>238</v>
      </c>
      <c r="HH244" s="21"/>
      <c r="HI244" s="168">
        <v>116409</v>
      </c>
      <c r="HJ244" s="168">
        <v>35165</v>
      </c>
      <c r="HK244" s="21"/>
      <c r="HL244" s="21"/>
      <c r="HM244" s="21"/>
      <c r="HN244" s="21"/>
      <c r="HO244" s="168">
        <v>6285136</v>
      </c>
      <c r="HP244" s="168">
        <v>6284316</v>
      </c>
      <c r="HQ244" s="21"/>
      <c r="HR244" s="21"/>
      <c r="HS244" s="21"/>
      <c r="HT244" s="21"/>
      <c r="HU244" s="21"/>
      <c r="HV244" s="21"/>
      <c r="HW244" s="21"/>
      <c r="HX244" s="21"/>
      <c r="HY244" s="21"/>
      <c r="HZ244" s="21"/>
      <c r="IA244" s="21"/>
      <c r="IB244" s="21"/>
      <c r="IC244" s="21"/>
      <c r="ID244" s="21"/>
      <c r="IE244" s="168">
        <v>1432606</v>
      </c>
      <c r="IF244" s="168">
        <v>1292898</v>
      </c>
      <c r="IG244" s="168">
        <v>15627</v>
      </c>
      <c r="IH244" s="168">
        <v>2682</v>
      </c>
      <c r="II244" s="21"/>
      <c r="IJ244" s="21"/>
      <c r="IK244" s="21"/>
      <c r="IL244" s="21"/>
      <c r="IM244" s="21"/>
      <c r="IN244" s="21"/>
      <c r="IO244" s="21"/>
      <c r="IP244" s="21"/>
      <c r="IQ244" s="21"/>
      <c r="IR244" s="21"/>
      <c r="IS244" s="21"/>
      <c r="IT244" s="21"/>
      <c r="IU244" s="168">
        <v>1448937</v>
      </c>
      <c r="IV244" s="168">
        <v>1519046</v>
      </c>
      <c r="IW244" s="168">
        <v>14895351</v>
      </c>
      <c r="IX244" s="168">
        <v>1543146</v>
      </c>
      <c r="IY244" s="168">
        <v>-40595</v>
      </c>
      <c r="IZ244" s="168">
        <v>-24100</v>
      </c>
      <c r="JA244" s="168">
        <v>103336</v>
      </c>
      <c r="JB244" s="168">
        <v>10418</v>
      </c>
      <c r="JC244" s="21"/>
      <c r="JD244" s="21"/>
      <c r="JE244" s="21"/>
      <c r="JF244" s="21"/>
      <c r="JG244" s="168">
        <v>20164</v>
      </c>
      <c r="JH244" s="168">
        <v>26742</v>
      </c>
      <c r="JI244" s="168">
        <v>621721991</v>
      </c>
      <c r="JJ244" s="168">
        <v>62911476</v>
      </c>
      <c r="JK244" s="168">
        <v>40797</v>
      </c>
      <c r="JL244" s="168">
        <v>24673</v>
      </c>
      <c r="JM244" s="168">
        <v>63661735</v>
      </c>
      <c r="JN244" s="168">
        <v>64454623</v>
      </c>
      <c r="JO244" s="168">
        <v>199</v>
      </c>
      <c r="JP244" s="168">
        <v>573</v>
      </c>
      <c r="JQ244" s="21"/>
      <c r="JR244" s="21"/>
      <c r="JS244" s="21"/>
      <c r="JT244" s="21"/>
      <c r="JU244" s="21"/>
      <c r="JV244" s="21"/>
      <c r="JW244" s="168">
        <v>63421826</v>
      </c>
      <c r="JX244" s="168">
        <v>1300739</v>
      </c>
      <c r="JY244" s="21"/>
      <c r="JZ244" s="21"/>
      <c r="KA244" s="21"/>
      <c r="KB244" s="21"/>
      <c r="KC244" s="21"/>
      <c r="KD244" s="21"/>
      <c r="KE244" s="21"/>
      <c r="KF244" s="21"/>
      <c r="KG244" s="21"/>
      <c r="KH244" s="21"/>
      <c r="KI244" s="168">
        <v>62156175</v>
      </c>
      <c r="KJ244" s="168">
        <v>63091</v>
      </c>
      <c r="KK244" s="21"/>
      <c r="KL244" s="21"/>
      <c r="KM244" s="21"/>
      <c r="KN244" s="21"/>
      <c r="KO244" s="21"/>
      <c r="KP244" s="21"/>
      <c r="KQ244" s="168">
        <v>543402</v>
      </c>
      <c r="KR244" s="168">
        <v>717771</v>
      </c>
      <c r="KS244" s="21"/>
      <c r="KT244" s="21"/>
      <c r="KU244" s="168">
        <v>4943213</v>
      </c>
      <c r="KV244" s="168">
        <v>4853105</v>
      </c>
      <c r="KW244" s="21"/>
      <c r="KX244" s="21"/>
      <c r="KY244" s="21"/>
      <c r="KZ244" s="21"/>
      <c r="LA244" s="168">
        <v>2640000</v>
      </c>
      <c r="LB244" s="168">
        <v>2640000</v>
      </c>
      <c r="LC244" s="21"/>
      <c r="LD244" s="21"/>
      <c r="LE244" s="21"/>
      <c r="LF244" s="21"/>
      <c r="LG244" s="21"/>
      <c r="LH244" s="21"/>
      <c r="LI244" s="168">
        <v>2126991</v>
      </c>
      <c r="LJ244" s="168">
        <v>2309424</v>
      </c>
      <c r="LK244" s="168">
        <v>6070179</v>
      </c>
      <c r="LL244" s="168">
        <v>5136351</v>
      </c>
      <c r="LM244" s="168">
        <v>840254</v>
      </c>
      <c r="LN244" s="168">
        <v>70762</v>
      </c>
      <c r="LO244" s="21"/>
      <c r="LP244" s="21"/>
      <c r="LQ244" s="21"/>
      <c r="LR244" s="21"/>
      <c r="LS244" s="21"/>
      <c r="LT244" s="21"/>
      <c r="LU244" s="21"/>
      <c r="LV244" s="21"/>
      <c r="LW244" s="21"/>
      <c r="LX244" s="21"/>
      <c r="LY244" s="21"/>
      <c r="LZ244" s="21"/>
      <c r="MA244" s="168">
        <v>655025</v>
      </c>
      <c r="MB244" s="168">
        <v>534482</v>
      </c>
      <c r="MC244" s="168">
        <v>501669</v>
      </c>
      <c r="MD244" s="168">
        <v>588366</v>
      </c>
      <c r="ME244" s="168">
        <v>5794339</v>
      </c>
      <c r="MF244" s="168">
        <v>327071</v>
      </c>
      <c r="MG244" s="21"/>
      <c r="MH244" s="21"/>
      <c r="MI244" s="21"/>
      <c r="MJ244" s="21"/>
      <c r="MK244" s="21"/>
      <c r="ML244" s="21"/>
      <c r="MM244" s="21"/>
      <c r="MN244" s="21"/>
      <c r="MO244" s="21"/>
      <c r="MP244" s="21"/>
      <c r="MQ244" s="21"/>
      <c r="MR244" s="168">
        <v>100000</v>
      </c>
      <c r="MS244" s="21"/>
      <c r="MT244" s="21"/>
      <c r="MU244" s="21"/>
      <c r="MV244" s="21"/>
      <c r="MW244" s="168">
        <v>264000</v>
      </c>
      <c r="MX244" s="168">
        <v>264000</v>
      </c>
      <c r="MY244" s="21"/>
      <c r="MZ244" s="21"/>
      <c r="NA244" s="21"/>
      <c r="NB244" s="21"/>
      <c r="NC244" s="168">
        <v>845391</v>
      </c>
      <c r="ND244" s="168">
        <v>401018</v>
      </c>
      <c r="NE244" s="21"/>
      <c r="NF244" s="21"/>
      <c r="NG244" s="168">
        <v>5786262</v>
      </c>
      <c r="NH244" s="168">
        <v>5443577</v>
      </c>
      <c r="NI244" s="21"/>
      <c r="NJ244" s="21"/>
      <c r="NK244" s="21"/>
      <c r="NL244" s="21"/>
      <c r="NM244" s="168">
        <v>9580825</v>
      </c>
      <c r="NN244" s="168">
        <v>8234309</v>
      </c>
      <c r="NO244" s="168">
        <v>22337923</v>
      </c>
      <c r="NP244" s="168">
        <v>15239090</v>
      </c>
      <c r="NQ244" s="168" t="s">
        <v>3425</v>
      </c>
      <c r="NR244" s="168" t="s">
        <v>823</v>
      </c>
      <c r="NS244" s="168" t="s">
        <v>770</v>
      </c>
      <c r="NT244" s="168" t="s">
        <v>771</v>
      </c>
      <c r="NU244" s="168">
        <v>7803</v>
      </c>
      <c r="NV244" s="168" t="s">
        <v>2104</v>
      </c>
      <c r="NW244" s="168" t="s">
        <v>28</v>
      </c>
      <c r="NX244" s="168" t="s">
        <v>25</v>
      </c>
      <c r="NY244" s="169">
        <v>42825</v>
      </c>
      <c r="NZ244" s="169">
        <v>42460</v>
      </c>
      <c r="OA244" s="169">
        <v>43131</v>
      </c>
      <c r="OB244" s="168" t="s">
        <v>3426</v>
      </c>
      <c r="OC244" s="168">
        <v>12</v>
      </c>
      <c r="OD244" s="168" t="s">
        <v>2105</v>
      </c>
      <c r="OE244" s="168" t="s">
        <v>2260</v>
      </c>
      <c r="OF244" s="168" t="s">
        <v>3427</v>
      </c>
      <c r="OG244" s="168" t="s">
        <v>3428</v>
      </c>
      <c r="OH244" s="168" t="s">
        <v>795</v>
      </c>
      <c r="OI244" s="168" t="s">
        <v>766</v>
      </c>
      <c r="OJ244" s="168" t="s">
        <v>3240</v>
      </c>
      <c r="OK244" s="168" t="s">
        <v>822</v>
      </c>
    </row>
    <row r="245" spans="1:401" x14ac:dyDescent="0.2">
      <c r="A245" s="170" t="str">
        <f>Liste[[#This Row],[Siren]]</f>
        <v>377550249</v>
      </c>
      <c r="B245" s="198" t="str">
        <f>Liste[[#This Row],[Dénomination]]&amp;" - comptes "&amp;YEAR(Liste[[#This Row],[Date de cloture de l''exercice]])</f>
        <v>Wavestone - comptes 2017</v>
      </c>
      <c r="C245" s="21"/>
      <c r="D245" s="21"/>
      <c r="E245" s="21"/>
      <c r="F245" s="168">
        <v>19668000</v>
      </c>
      <c r="G245" s="168">
        <v>23969000</v>
      </c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168">
        <v>111179000</v>
      </c>
      <c r="BE245" s="168">
        <v>100976000</v>
      </c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168">
        <v>119761000</v>
      </c>
      <c r="CF245" s="168">
        <v>130397000</v>
      </c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168">
        <v>163953000</v>
      </c>
      <c r="EM245" s="168">
        <v>147043000</v>
      </c>
      <c r="EN245" s="21"/>
      <c r="EO245" s="21"/>
      <c r="EP245" s="168">
        <v>169570000</v>
      </c>
      <c r="EQ245" s="168">
        <v>164732000</v>
      </c>
      <c r="ER245" s="21"/>
      <c r="ES245" s="21"/>
      <c r="ET245" s="168">
        <v>333523000</v>
      </c>
      <c r="EU245" s="168">
        <v>311774000</v>
      </c>
      <c r="EV245" s="21"/>
      <c r="EW245" s="21"/>
      <c r="EX245" s="21"/>
      <c r="EY245" s="21"/>
      <c r="EZ245" s="21"/>
      <c r="FA245" s="21"/>
      <c r="FB245" s="21"/>
      <c r="FC245" s="21"/>
      <c r="FD245" s="21"/>
      <c r="FE245" s="21"/>
      <c r="FF245" s="21"/>
      <c r="FG245" s="21"/>
      <c r="FH245" s="21"/>
      <c r="FI245" s="21"/>
      <c r="FJ245" s="21"/>
      <c r="FK245" s="168">
        <v>20055000</v>
      </c>
      <c r="FL245" s="168">
        <v>13358000</v>
      </c>
      <c r="FM245" s="21"/>
      <c r="FN245" s="21"/>
      <c r="FO245" s="21"/>
      <c r="FP245" s="21"/>
      <c r="FQ245" s="21"/>
      <c r="FR245" s="21"/>
      <c r="FS245" s="21"/>
      <c r="FT245" s="21"/>
      <c r="FU245" s="21"/>
      <c r="FV245" s="21"/>
      <c r="FW245" s="21"/>
      <c r="FX245" s="21"/>
      <c r="FY245" s="21"/>
      <c r="FZ245" s="21"/>
      <c r="GA245" s="21"/>
      <c r="GB245" s="21"/>
      <c r="GC245" s="21"/>
      <c r="GD245" s="21"/>
      <c r="GE245" s="21"/>
      <c r="GF245" s="21"/>
      <c r="GG245" s="21"/>
      <c r="GH245" s="21"/>
      <c r="GI245" s="21"/>
      <c r="GJ245" s="21"/>
      <c r="GK245" s="21"/>
      <c r="GL245" s="21"/>
      <c r="GM245" s="168">
        <v>20055000</v>
      </c>
      <c r="GN245" s="168">
        <v>13358000</v>
      </c>
      <c r="GO245" s="21"/>
      <c r="GP245" s="21"/>
      <c r="GQ245" s="21"/>
      <c r="GR245" s="21"/>
      <c r="GS245" s="168">
        <v>20055000</v>
      </c>
      <c r="GT245" s="168">
        <v>13358000</v>
      </c>
      <c r="GU245" s="21"/>
      <c r="GV245" s="21"/>
      <c r="GW245" s="21"/>
      <c r="GX245" s="21"/>
      <c r="GY245" s="21"/>
      <c r="GZ245" s="21"/>
      <c r="HA245" s="21"/>
      <c r="HB245" s="21"/>
      <c r="HC245" s="168">
        <v>45557000</v>
      </c>
      <c r="HD245" s="168">
        <v>25533000</v>
      </c>
      <c r="HE245" s="21"/>
      <c r="HF245" s="21"/>
      <c r="HG245" s="21"/>
      <c r="HH245" s="21"/>
      <c r="HI245" s="21"/>
      <c r="HJ245" s="21"/>
      <c r="HK245" s="21"/>
      <c r="HL245" s="21"/>
      <c r="HM245" s="21"/>
      <c r="HN245" s="21"/>
      <c r="HO245" s="21"/>
      <c r="HP245" s="21"/>
      <c r="HQ245" s="21"/>
      <c r="HR245" s="21"/>
      <c r="HS245" s="21"/>
      <c r="HT245" s="21"/>
      <c r="HU245" s="21"/>
      <c r="HV245" s="21"/>
      <c r="HW245" s="21"/>
      <c r="HX245" s="21"/>
      <c r="HY245" s="21"/>
      <c r="HZ245" s="21"/>
      <c r="IA245" s="21"/>
      <c r="IB245" s="21"/>
      <c r="IC245" s="21"/>
      <c r="ID245" s="21"/>
      <c r="IE245" s="168">
        <v>5782000</v>
      </c>
      <c r="IF245" s="168">
        <v>4396000</v>
      </c>
      <c r="IG245" s="21"/>
      <c r="IH245" s="21"/>
      <c r="II245" s="21"/>
      <c r="IJ245" s="21"/>
      <c r="IK245" s="21"/>
      <c r="IL245" s="21"/>
      <c r="IM245" s="21"/>
      <c r="IN245" s="21"/>
      <c r="IO245" s="21"/>
      <c r="IP245" s="21"/>
      <c r="IQ245" s="21"/>
      <c r="IR245" s="21"/>
      <c r="IS245" s="21"/>
      <c r="IT245" s="21"/>
      <c r="IU245" s="168">
        <v>33151000</v>
      </c>
      <c r="IV245" s="168">
        <v>21781000</v>
      </c>
      <c r="IW245" s="21"/>
      <c r="IX245" s="21"/>
      <c r="IY245" s="21"/>
      <c r="IZ245" s="21"/>
      <c r="JA245" s="21"/>
      <c r="JB245" s="21"/>
      <c r="JC245" s="21"/>
      <c r="JD245" s="21"/>
      <c r="JE245" s="21"/>
      <c r="JF245" s="21"/>
      <c r="JG245" s="21"/>
      <c r="JH245" s="21"/>
      <c r="JI245" s="21"/>
      <c r="JJ245" s="21"/>
      <c r="JK245" s="21"/>
      <c r="JL245" s="21"/>
      <c r="JM245" s="21"/>
      <c r="JN245" s="21"/>
      <c r="JO245" s="168">
        <v>44000</v>
      </c>
      <c r="JP245" s="168">
        <v>19000</v>
      </c>
      <c r="JQ245" s="21"/>
      <c r="JR245" s="21"/>
      <c r="JS245" s="21"/>
      <c r="JT245" s="21"/>
      <c r="JU245" s="21"/>
      <c r="JV245" s="21"/>
      <c r="JW245" s="168">
        <v>338732000</v>
      </c>
      <c r="JX245" s="168">
        <v>233020000</v>
      </c>
      <c r="JY245" s="21"/>
      <c r="JZ245" s="21"/>
      <c r="KA245" s="21"/>
      <c r="KB245" s="21"/>
      <c r="KC245" s="21"/>
      <c r="KD245" s="21"/>
      <c r="KE245" s="21"/>
      <c r="KF245" s="21"/>
      <c r="KG245" s="21"/>
      <c r="KH245" s="21"/>
      <c r="KI245" s="21"/>
      <c r="KJ245" s="21"/>
      <c r="KK245" s="21"/>
      <c r="KL245" s="21"/>
      <c r="KM245" s="21"/>
      <c r="KN245" s="21"/>
      <c r="KO245" s="21"/>
      <c r="KP245" s="21"/>
      <c r="KQ245" s="21"/>
      <c r="KR245" s="21"/>
      <c r="KS245" s="21"/>
      <c r="KT245" s="21"/>
      <c r="KU245" s="21"/>
      <c r="KV245" s="21"/>
      <c r="KW245" s="21"/>
      <c r="KX245" s="21"/>
      <c r="KY245" s="21"/>
      <c r="KZ245" s="21"/>
      <c r="LA245" s="168">
        <v>497000</v>
      </c>
      <c r="LB245" s="168">
        <v>497000</v>
      </c>
      <c r="LC245" s="21"/>
      <c r="LD245" s="21"/>
      <c r="LE245" s="21"/>
      <c r="LF245" s="21"/>
      <c r="LG245" s="21"/>
      <c r="LH245" s="21"/>
      <c r="LI245" s="168">
        <v>80324000</v>
      </c>
      <c r="LJ245" s="168">
        <v>77360000</v>
      </c>
      <c r="LK245" s="168">
        <v>15414000</v>
      </c>
      <c r="LL245" s="168">
        <v>13442000</v>
      </c>
      <c r="LM245" s="21"/>
      <c r="LN245" s="21"/>
      <c r="LO245" s="21"/>
      <c r="LP245" s="21"/>
      <c r="LQ245" s="21"/>
      <c r="LR245" s="21"/>
      <c r="LS245" s="21"/>
      <c r="LT245" s="21"/>
      <c r="LU245" s="21"/>
      <c r="LV245" s="21"/>
      <c r="LW245" s="21"/>
      <c r="LX245" s="21"/>
      <c r="LY245" s="21"/>
      <c r="LZ245" s="21"/>
      <c r="MA245" s="21"/>
      <c r="MB245" s="21"/>
      <c r="MC245" s="21"/>
      <c r="MD245" s="21"/>
      <c r="ME245" s="21"/>
      <c r="MF245" s="21"/>
      <c r="MG245" s="21"/>
      <c r="MH245" s="21"/>
      <c r="MI245" s="168">
        <v>11218000</v>
      </c>
      <c r="MJ245" s="168">
        <v>11218000</v>
      </c>
      <c r="MK245" s="21"/>
      <c r="ML245" s="21"/>
      <c r="MM245" s="21"/>
      <c r="MN245" s="21"/>
      <c r="MO245" s="21"/>
      <c r="MP245" s="21"/>
      <c r="MQ245" s="21"/>
      <c r="MR245" s="21"/>
      <c r="MS245" s="21"/>
      <c r="MT245" s="21"/>
      <c r="MU245" s="21"/>
      <c r="MV245" s="21"/>
      <c r="MW245" s="21"/>
      <c r="MX245" s="21"/>
      <c r="MY245" s="21"/>
      <c r="MZ245" s="21"/>
      <c r="NA245" s="21"/>
      <c r="NB245" s="21"/>
      <c r="NC245" s="21"/>
      <c r="ND245" s="21"/>
      <c r="NE245" s="21"/>
      <c r="NF245" s="21"/>
      <c r="NG245" s="168">
        <v>104110000</v>
      </c>
      <c r="NH245" s="168">
        <v>84979000</v>
      </c>
      <c r="NI245" s="21"/>
      <c r="NJ245" s="21"/>
      <c r="NK245" s="21"/>
      <c r="NL245" s="21"/>
      <c r="NM245" s="168">
        <v>209854000</v>
      </c>
      <c r="NN245" s="168">
        <v>205348000</v>
      </c>
      <c r="NO245" s="168">
        <v>333523000</v>
      </c>
      <c r="NP245" s="168">
        <v>311774000</v>
      </c>
      <c r="NQ245" s="168" t="s">
        <v>880</v>
      </c>
      <c r="NR245" s="168" t="s">
        <v>872</v>
      </c>
      <c r="NS245" s="168" t="s">
        <v>770</v>
      </c>
      <c r="NT245" s="168" t="s">
        <v>771</v>
      </c>
      <c r="NU245" s="168">
        <v>9201</v>
      </c>
      <c r="NV245" s="168" t="s">
        <v>2104</v>
      </c>
      <c r="NW245" s="168" t="s">
        <v>28</v>
      </c>
      <c r="NX245" s="168" t="s">
        <v>25</v>
      </c>
      <c r="NY245" s="169">
        <v>42825</v>
      </c>
      <c r="NZ245" s="169">
        <v>42460</v>
      </c>
      <c r="OA245" s="169">
        <v>42954</v>
      </c>
      <c r="OB245" s="168" t="s">
        <v>1473</v>
      </c>
      <c r="OC245" s="168">
        <v>12</v>
      </c>
      <c r="OD245" s="168" t="s">
        <v>2105</v>
      </c>
      <c r="OE245" s="168" t="s">
        <v>2566</v>
      </c>
      <c r="OF245" s="168" t="s">
        <v>2567</v>
      </c>
      <c r="OG245" s="168" t="s">
        <v>2037</v>
      </c>
      <c r="OH245" s="168" t="s">
        <v>777</v>
      </c>
      <c r="OI245" s="168" t="s">
        <v>766</v>
      </c>
      <c r="OJ245" s="168" t="s">
        <v>3240</v>
      </c>
      <c r="OK245" s="168" t="s">
        <v>871</v>
      </c>
    </row>
    <row r="246" spans="1:401" x14ac:dyDescent="0.2">
      <c r="A246" s="170" t="str">
        <f>Liste[[#This Row],[Siren]]</f>
        <v>335680096</v>
      </c>
      <c r="B246" s="198" t="str">
        <f>Liste[[#This Row],[Dénomination]]&amp;" - comptes "&amp;YEAR(Liste[[#This Row],[Date de cloture de l''exercice]])</f>
        <v>LAURENT-PERRIER - comptes 2017</v>
      </c>
      <c r="C246" s="21"/>
      <c r="D246" s="21"/>
      <c r="E246" s="21"/>
      <c r="F246" s="168">
        <v>43960000</v>
      </c>
      <c r="G246" s="168">
        <v>42700000</v>
      </c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168">
        <v>26000000</v>
      </c>
      <c r="EI246" s="168">
        <v>260000</v>
      </c>
      <c r="EJ246" s="21"/>
      <c r="EK246" s="21"/>
      <c r="EL246" s="168">
        <v>253880000</v>
      </c>
      <c r="EM246" s="168">
        <v>247220000</v>
      </c>
      <c r="EN246" s="21"/>
      <c r="EO246" s="21"/>
      <c r="EP246" s="168">
        <v>605230000</v>
      </c>
      <c r="EQ246" s="168">
        <v>640560000</v>
      </c>
      <c r="ER246" s="21"/>
      <c r="ES246" s="21"/>
      <c r="ET246" s="168">
        <v>859110000</v>
      </c>
      <c r="EU246" s="168">
        <v>857780000</v>
      </c>
      <c r="EV246" s="21"/>
      <c r="EW246" s="21"/>
      <c r="EX246" s="21"/>
      <c r="EY246" s="21"/>
      <c r="EZ246" s="21"/>
      <c r="FA246" s="21"/>
      <c r="FB246" s="21"/>
      <c r="FC246" s="21"/>
      <c r="FD246" s="21"/>
      <c r="FE246" s="21"/>
      <c r="FF246" s="21"/>
      <c r="FG246" s="21"/>
      <c r="FH246" s="21"/>
      <c r="FI246" s="21"/>
      <c r="FJ246" s="21"/>
      <c r="FK246" s="21"/>
      <c r="FL246" s="21"/>
      <c r="FM246" s="21"/>
      <c r="FN246" s="21"/>
      <c r="FO246" s="21"/>
      <c r="FP246" s="21"/>
      <c r="FQ246" s="21"/>
      <c r="FR246" s="21"/>
      <c r="FS246" s="21"/>
      <c r="FT246" s="21"/>
      <c r="FU246" s="21"/>
      <c r="FV246" s="21"/>
      <c r="FW246" s="168">
        <v>-11570000</v>
      </c>
      <c r="FX246" s="168">
        <v>-13060000</v>
      </c>
      <c r="FY246" s="21"/>
      <c r="FZ246" s="21"/>
      <c r="GA246" s="21"/>
      <c r="GB246" s="21"/>
      <c r="GC246" s="21"/>
      <c r="GD246" s="21"/>
      <c r="GE246" s="21"/>
      <c r="GF246" s="21"/>
      <c r="GG246" s="21"/>
      <c r="GH246" s="21"/>
      <c r="GI246" s="21"/>
      <c r="GJ246" s="21"/>
      <c r="GK246" s="21"/>
      <c r="GL246" s="21"/>
      <c r="GM246" s="168">
        <v>28260000</v>
      </c>
      <c r="GN246" s="168">
        <v>25320000</v>
      </c>
      <c r="GO246" s="21"/>
      <c r="GP246" s="21"/>
      <c r="GQ246" s="21"/>
      <c r="GR246" s="21"/>
      <c r="GS246" s="168">
        <v>3930000</v>
      </c>
      <c r="GT246" s="168">
        <v>4270000</v>
      </c>
      <c r="GU246" s="21"/>
      <c r="GV246" s="21"/>
      <c r="GW246" s="21"/>
      <c r="GX246" s="21"/>
      <c r="GY246" s="21"/>
      <c r="GZ246" s="21"/>
      <c r="HA246" s="21"/>
      <c r="HB246" s="21"/>
      <c r="HC246" s="21"/>
      <c r="HD246" s="21"/>
      <c r="HE246" s="21"/>
      <c r="HF246" s="21"/>
      <c r="HG246" s="21"/>
      <c r="HH246" s="21"/>
      <c r="HI246" s="21"/>
      <c r="HJ246" s="21"/>
      <c r="HK246" s="21"/>
      <c r="HL246" s="21"/>
      <c r="HM246" s="21"/>
      <c r="HN246" s="21"/>
      <c r="HO246" s="21"/>
      <c r="HP246" s="21"/>
      <c r="HQ246" s="21"/>
      <c r="HR246" s="21"/>
      <c r="HS246" s="21"/>
      <c r="HT246" s="21"/>
      <c r="HU246" s="21"/>
      <c r="HV246" s="21"/>
      <c r="HW246" s="21"/>
      <c r="HX246" s="21"/>
      <c r="HY246" s="21"/>
      <c r="HZ246" s="21"/>
      <c r="IA246" s="21"/>
      <c r="IB246" s="21"/>
      <c r="IC246" s="21"/>
      <c r="ID246" s="21"/>
      <c r="IE246" s="21"/>
      <c r="IF246" s="21"/>
      <c r="IG246" s="21"/>
      <c r="IH246" s="21"/>
      <c r="II246" s="21"/>
      <c r="IJ246" s="21"/>
      <c r="IK246" s="21"/>
      <c r="IL246" s="21"/>
      <c r="IM246" s="21"/>
      <c r="IN246" s="21"/>
      <c r="IO246" s="21"/>
      <c r="IP246" s="21"/>
      <c r="IQ246" s="21"/>
      <c r="IR246" s="21"/>
      <c r="IS246" s="21"/>
      <c r="IT246" s="21"/>
      <c r="IU246" s="21"/>
      <c r="IV246" s="21"/>
      <c r="IW246" s="21"/>
      <c r="IX246" s="21"/>
      <c r="IY246" s="168">
        <v>-6260000</v>
      </c>
      <c r="IZ246" s="168">
        <v>-6160000</v>
      </c>
      <c r="JA246" s="21"/>
      <c r="JB246" s="21"/>
      <c r="JC246" s="21"/>
      <c r="JD246" s="21"/>
      <c r="JE246" s="21"/>
      <c r="JF246" s="21"/>
      <c r="JG246" s="21"/>
      <c r="JH246" s="21"/>
      <c r="JI246" s="21"/>
      <c r="JJ246" s="21"/>
      <c r="JK246" s="21"/>
      <c r="JL246" s="21"/>
      <c r="JM246" s="168">
        <v>41080000</v>
      </c>
      <c r="JN246" s="168">
        <v>44540000</v>
      </c>
      <c r="JO246" s="168">
        <v>200000</v>
      </c>
      <c r="JP246" s="168">
        <v>100000</v>
      </c>
      <c r="JQ246" s="21"/>
      <c r="JR246" s="21"/>
      <c r="JS246" s="21"/>
      <c r="JT246" s="21"/>
      <c r="JU246" s="21"/>
      <c r="JV246" s="21"/>
      <c r="JW246" s="168">
        <v>230580000</v>
      </c>
      <c r="JX246" s="168">
        <v>244840000</v>
      </c>
      <c r="JY246" s="21"/>
      <c r="JZ246" s="21"/>
      <c r="KA246" s="21"/>
      <c r="KB246" s="21"/>
      <c r="KC246" s="21"/>
      <c r="KD246" s="21"/>
      <c r="KE246" s="21"/>
      <c r="KF246" s="21"/>
      <c r="KG246" s="21"/>
      <c r="KH246" s="21"/>
      <c r="KI246" s="21"/>
      <c r="KJ246" s="21"/>
      <c r="KK246" s="21"/>
      <c r="KL246" s="21"/>
      <c r="KM246" s="21"/>
      <c r="KN246" s="21"/>
      <c r="KO246" s="21"/>
      <c r="KP246" s="21"/>
      <c r="KQ246" s="168">
        <v>17730000</v>
      </c>
      <c r="KR246" s="168">
        <v>18020000</v>
      </c>
      <c r="KS246" s="21"/>
      <c r="KT246" s="21"/>
      <c r="KU246" s="168">
        <v>265430000</v>
      </c>
      <c r="KV246" s="168">
        <v>241400000</v>
      </c>
      <c r="KW246" s="21"/>
      <c r="KX246" s="21"/>
      <c r="KY246" s="21"/>
      <c r="KZ246" s="21"/>
      <c r="LA246" s="168">
        <v>22590000</v>
      </c>
      <c r="LB246" s="168">
        <v>22590000</v>
      </c>
      <c r="LC246" s="21"/>
      <c r="LD246" s="21"/>
      <c r="LE246" s="21"/>
      <c r="LF246" s="21"/>
      <c r="LG246" s="21"/>
      <c r="LH246" s="21"/>
      <c r="LI246" s="168">
        <v>14400000</v>
      </c>
      <c r="LJ246" s="168">
        <v>14770000</v>
      </c>
      <c r="LK246" s="168">
        <v>79840000</v>
      </c>
      <c r="LL246" s="168">
        <v>81390000</v>
      </c>
      <c r="LM246" s="21"/>
      <c r="LN246" s="21"/>
      <c r="LO246" s="21"/>
      <c r="LP246" s="21"/>
      <c r="LQ246" s="21"/>
      <c r="LR246" s="21"/>
      <c r="LS246" s="21"/>
      <c r="LT246" s="21"/>
      <c r="LU246" s="168">
        <v>-1480000</v>
      </c>
      <c r="LV246" s="168">
        <v>-1040000</v>
      </c>
      <c r="LW246" s="21"/>
      <c r="LX246" s="21"/>
      <c r="LY246" s="21"/>
      <c r="LZ246" s="21"/>
      <c r="MA246" s="21"/>
      <c r="MB246" s="21"/>
      <c r="MC246" s="21"/>
      <c r="MD246" s="21"/>
      <c r="ME246" s="21"/>
      <c r="MF246" s="21"/>
      <c r="MG246" s="21"/>
      <c r="MH246" s="21"/>
      <c r="MI246" s="21"/>
      <c r="MJ246" s="21"/>
      <c r="MK246" s="21"/>
      <c r="ML246" s="21"/>
      <c r="MM246" s="21"/>
      <c r="MN246" s="21"/>
      <c r="MO246" s="21"/>
      <c r="MP246" s="21"/>
      <c r="MQ246" s="21"/>
      <c r="MR246" s="21"/>
      <c r="MS246" s="21"/>
      <c r="MT246" s="21"/>
      <c r="MU246" s="21"/>
      <c r="MV246" s="21"/>
      <c r="MW246" s="21"/>
      <c r="MX246" s="21"/>
      <c r="MY246" s="21"/>
      <c r="MZ246" s="21"/>
      <c r="NA246" s="21"/>
      <c r="NB246" s="21"/>
      <c r="NC246" s="168">
        <v>23220000</v>
      </c>
      <c r="ND246" s="168">
        <v>25220000</v>
      </c>
      <c r="NE246" s="21"/>
      <c r="NF246" s="21"/>
      <c r="NG246" s="168">
        <v>388480000</v>
      </c>
      <c r="NH246" s="168">
        <v>366830000</v>
      </c>
      <c r="NI246" s="21"/>
      <c r="NJ246" s="21"/>
      <c r="NK246" s="168">
        <v>2820000</v>
      </c>
      <c r="NL246" s="168">
        <v>2680000</v>
      </c>
      <c r="NM246" s="168">
        <v>451640000</v>
      </c>
      <c r="NN246" s="168">
        <v>473270000</v>
      </c>
      <c r="NO246" s="168">
        <v>8859110000</v>
      </c>
      <c r="NP246" s="168">
        <v>857780000</v>
      </c>
      <c r="NQ246" s="168" t="s">
        <v>1353</v>
      </c>
      <c r="NR246" s="168" t="s">
        <v>797</v>
      </c>
      <c r="NS246" s="168" t="s">
        <v>770</v>
      </c>
      <c r="NT246" s="168" t="s">
        <v>771</v>
      </c>
      <c r="NU246" s="168">
        <v>5103</v>
      </c>
      <c r="NV246" s="168" t="s">
        <v>2104</v>
      </c>
      <c r="NW246" s="168" t="s">
        <v>28</v>
      </c>
      <c r="NX246" s="168" t="s">
        <v>25</v>
      </c>
      <c r="NY246" s="169">
        <v>42825</v>
      </c>
      <c r="NZ246" s="169">
        <v>42460</v>
      </c>
      <c r="OA246" s="169">
        <v>42943</v>
      </c>
      <c r="OB246" s="168" t="s">
        <v>1354</v>
      </c>
      <c r="OC246" s="168">
        <v>12</v>
      </c>
      <c r="OD246" s="168" t="s">
        <v>2105</v>
      </c>
      <c r="OE246" s="168" t="s">
        <v>2262</v>
      </c>
      <c r="OF246" s="168" t="s">
        <v>2484</v>
      </c>
      <c r="OG246" s="168" t="s">
        <v>1981</v>
      </c>
      <c r="OH246" s="168" t="s">
        <v>787</v>
      </c>
      <c r="OI246" s="168" t="s">
        <v>766</v>
      </c>
      <c r="OJ246" s="168" t="s">
        <v>3240</v>
      </c>
      <c r="OK246" s="168" t="s">
        <v>796</v>
      </c>
    </row>
    <row r="247" spans="1:401" x14ac:dyDescent="0.2">
      <c r="A247" s="170" t="str">
        <f>Liste[[#This Row],[Siren]]</f>
        <v>409577939</v>
      </c>
      <c r="B247" s="198" t="str">
        <f>Liste[[#This Row],[Dénomination]]&amp;" - comptes "&amp;YEAR(Liste[[#This Row],[Date de cloture de l''exercice]])</f>
        <v>SOCOPAL FINANCE - comptes 2017</v>
      </c>
      <c r="C247" s="21"/>
      <c r="D247" s="21"/>
      <c r="E247" s="21"/>
      <c r="F247" s="168">
        <v>2394000</v>
      </c>
      <c r="G247" s="168">
        <v>3089000</v>
      </c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168">
        <v>9321000</v>
      </c>
      <c r="BE247" s="168">
        <v>9840000</v>
      </c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168">
        <v>9957000</v>
      </c>
      <c r="BY247" s="168">
        <v>8780000</v>
      </c>
      <c r="BZ247" s="21"/>
      <c r="CA247" s="21"/>
      <c r="CB247" s="21"/>
      <c r="CC247" s="21"/>
      <c r="CD247" s="21"/>
      <c r="CE247" s="168">
        <v>426000</v>
      </c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168">
        <v>11720000</v>
      </c>
      <c r="EM247" s="168">
        <v>12167000</v>
      </c>
      <c r="EN247" s="21"/>
      <c r="EO247" s="21"/>
      <c r="EP247" s="168">
        <v>25050000</v>
      </c>
      <c r="EQ247" s="168">
        <v>25463000</v>
      </c>
      <c r="ER247" s="21"/>
      <c r="ES247" s="21"/>
      <c r="ET247" s="168">
        <v>36769000</v>
      </c>
      <c r="EU247" s="168">
        <v>37631000</v>
      </c>
      <c r="EV247" s="21"/>
      <c r="EW247" s="21"/>
      <c r="EX247" s="21"/>
      <c r="EY247" s="21"/>
      <c r="EZ247" s="21"/>
      <c r="FA247" s="21"/>
      <c r="FB247" s="21"/>
      <c r="FC247" s="21"/>
      <c r="FD247" s="21"/>
      <c r="FE247" s="21"/>
      <c r="FF247" s="21"/>
      <c r="FG247" s="21"/>
      <c r="FH247" s="21"/>
      <c r="FI247" s="21"/>
      <c r="FJ247" s="21"/>
      <c r="FK247" s="21"/>
      <c r="FL247" s="21"/>
      <c r="FM247" s="21"/>
      <c r="FN247" s="21"/>
      <c r="FO247" s="21"/>
      <c r="FP247" s="21"/>
      <c r="FQ247" s="21"/>
      <c r="FR247" s="21"/>
      <c r="FS247" s="21"/>
      <c r="FT247" s="21"/>
      <c r="FU247" s="21"/>
      <c r="FV247" s="21"/>
      <c r="FW247" s="21"/>
      <c r="FX247" s="21"/>
      <c r="FY247" s="21"/>
      <c r="FZ247" s="21"/>
      <c r="GA247" s="21"/>
      <c r="GB247" s="21"/>
      <c r="GC247" s="21"/>
      <c r="GD247" s="21"/>
      <c r="GE247" s="21"/>
      <c r="GF247" s="21"/>
      <c r="GG247" s="21"/>
      <c r="GH247" s="21"/>
      <c r="GI247" s="21"/>
      <c r="GJ247" s="21"/>
      <c r="GK247" s="21"/>
      <c r="GL247" s="21"/>
      <c r="GM247" s="168">
        <v>758000</v>
      </c>
      <c r="GN247" s="168">
        <v>353000</v>
      </c>
      <c r="GO247" s="21"/>
      <c r="GP247" s="21"/>
      <c r="GQ247" s="21"/>
      <c r="GR247" s="21"/>
      <c r="GS247" s="168">
        <v>758000</v>
      </c>
      <c r="GT247" s="168">
        <v>353000</v>
      </c>
      <c r="GU247" s="21"/>
      <c r="GV247" s="21"/>
      <c r="GW247" s="21"/>
      <c r="GX247" s="21"/>
      <c r="GY247" s="21"/>
      <c r="GZ247" s="21"/>
      <c r="HA247" s="21"/>
      <c r="HB247" s="21"/>
      <c r="HC247" s="168">
        <v>-9374000</v>
      </c>
      <c r="HD247" s="168">
        <v>-10520000</v>
      </c>
      <c r="HE247" s="168">
        <v>-154000</v>
      </c>
      <c r="HF247" s="168">
        <v>-216000</v>
      </c>
      <c r="HG247" s="21"/>
      <c r="HH247" s="21"/>
      <c r="HI247" s="168">
        <v>663000</v>
      </c>
      <c r="HJ247" s="168">
        <v>1636000</v>
      </c>
      <c r="HK247" s="21"/>
      <c r="HL247" s="21"/>
      <c r="HM247" s="21"/>
      <c r="HN247" s="21"/>
      <c r="HO247" s="21"/>
      <c r="HP247" s="21"/>
      <c r="HQ247" s="21"/>
      <c r="HR247" s="21"/>
      <c r="HS247" s="21"/>
      <c r="HT247" s="21"/>
      <c r="HU247" s="21"/>
      <c r="HV247" s="21"/>
      <c r="HW247" s="21"/>
      <c r="HX247" s="21"/>
      <c r="HY247" s="21"/>
      <c r="HZ247" s="21"/>
      <c r="IA247" s="21"/>
      <c r="IB247" s="21"/>
      <c r="IC247" s="21"/>
      <c r="ID247" s="21"/>
      <c r="IE247" s="168">
        <v>-720000</v>
      </c>
      <c r="IF247" s="168">
        <v>-730000</v>
      </c>
      <c r="IG247" s="21"/>
      <c r="IH247" s="21"/>
      <c r="II247" s="21"/>
      <c r="IJ247" s="21"/>
      <c r="IK247" s="21"/>
      <c r="IL247" s="21"/>
      <c r="IM247" s="21"/>
      <c r="IN247" s="21"/>
      <c r="IO247" s="21"/>
      <c r="IP247" s="21"/>
      <c r="IQ247" s="21"/>
      <c r="IR247" s="21"/>
      <c r="IS247" s="21"/>
      <c r="IT247" s="21"/>
      <c r="IU247" s="168">
        <v>517000</v>
      </c>
      <c r="IV247" s="168">
        <v>-190000</v>
      </c>
      <c r="IW247" s="168">
        <v>566000</v>
      </c>
      <c r="IX247" s="168">
        <v>-21000</v>
      </c>
      <c r="IY247" s="168">
        <v>-49000</v>
      </c>
      <c r="IZ247" s="168">
        <v>-169000</v>
      </c>
      <c r="JA247" s="21"/>
      <c r="JB247" s="21"/>
      <c r="JC247" s="21"/>
      <c r="JD247" s="21"/>
      <c r="JE247" s="21"/>
      <c r="JF247" s="21"/>
      <c r="JG247" s="21"/>
      <c r="JH247" s="21"/>
      <c r="JI247" s="168">
        <v>-79341000</v>
      </c>
      <c r="JJ247" s="168">
        <v>-82948000</v>
      </c>
      <c r="JK247" s="168">
        <v>-115000</v>
      </c>
      <c r="JL247" s="168">
        <v>-227000</v>
      </c>
      <c r="JM247" s="168">
        <v>79907000</v>
      </c>
      <c r="JN247" s="168">
        <v>82928000</v>
      </c>
      <c r="JO247" s="168">
        <v>66000</v>
      </c>
      <c r="JP247" s="168">
        <v>57000</v>
      </c>
      <c r="JQ247" s="21"/>
      <c r="JR247" s="21"/>
      <c r="JS247" s="21"/>
      <c r="JT247" s="21"/>
      <c r="JU247" s="21"/>
      <c r="JV247" s="21"/>
      <c r="JW247" s="168">
        <v>79243000</v>
      </c>
      <c r="JX247" s="168">
        <v>81292000</v>
      </c>
      <c r="JY247" s="21"/>
      <c r="JZ247" s="21"/>
      <c r="KA247" s="21"/>
      <c r="KB247" s="21"/>
      <c r="KC247" s="21"/>
      <c r="KD247" s="21"/>
      <c r="KE247" s="21"/>
      <c r="KF247" s="21"/>
      <c r="KG247" s="21"/>
      <c r="KH247" s="21"/>
      <c r="KI247" s="21"/>
      <c r="KJ247" s="21"/>
      <c r="KK247" s="21"/>
      <c r="KL247" s="21"/>
      <c r="KM247" s="21"/>
      <c r="KN247" s="21"/>
      <c r="KO247" s="21"/>
      <c r="KP247" s="21"/>
      <c r="KQ247" s="168">
        <v>3248000</v>
      </c>
      <c r="KR247" s="168">
        <v>3199000</v>
      </c>
      <c r="KS247" s="21"/>
      <c r="KT247" s="21"/>
      <c r="KU247" s="21"/>
      <c r="KV247" s="21"/>
      <c r="KW247" s="21"/>
      <c r="KX247" s="21"/>
      <c r="KY247" s="21"/>
      <c r="KZ247" s="21"/>
      <c r="LA247" s="168">
        <v>3742000</v>
      </c>
      <c r="LB247" s="168">
        <v>3742000</v>
      </c>
      <c r="LC247" s="21"/>
      <c r="LD247" s="21"/>
      <c r="LE247" s="21"/>
      <c r="LF247" s="21"/>
      <c r="LG247" s="21"/>
      <c r="LH247" s="21"/>
      <c r="LI247" s="21"/>
      <c r="LJ247" s="21"/>
      <c r="LK247" s="168">
        <v>8338000</v>
      </c>
      <c r="LL247" s="168">
        <v>9065000</v>
      </c>
      <c r="LM247" s="21"/>
      <c r="LN247" s="21"/>
      <c r="LO247" s="21"/>
      <c r="LP247" s="21"/>
      <c r="LQ247" s="21"/>
      <c r="LR247" s="21"/>
      <c r="LS247" s="21"/>
      <c r="LT247" s="21"/>
      <c r="LU247" s="21"/>
      <c r="LV247" s="21"/>
      <c r="LW247" s="21"/>
      <c r="LX247" s="21"/>
      <c r="LY247" s="21"/>
      <c r="LZ247" s="21"/>
      <c r="MA247" s="21"/>
      <c r="MB247" s="21"/>
      <c r="MC247" s="168">
        <v>6459000</v>
      </c>
      <c r="MD247" s="168">
        <v>6717000</v>
      </c>
      <c r="ME247" s="21"/>
      <c r="MF247" s="21"/>
      <c r="MG247" s="21"/>
      <c r="MH247" s="21"/>
      <c r="MI247" s="168">
        <v>2707000</v>
      </c>
      <c r="MJ247" s="168">
        <v>2707000</v>
      </c>
      <c r="MK247" s="21"/>
      <c r="ML247" s="21"/>
      <c r="MM247" s="21"/>
      <c r="MN247" s="21"/>
      <c r="MO247" s="21"/>
      <c r="MP247" s="21"/>
      <c r="MQ247" s="21"/>
      <c r="MR247" s="21"/>
      <c r="MS247" s="21"/>
      <c r="MT247" s="21"/>
      <c r="MU247" s="21"/>
      <c r="MV247" s="21"/>
      <c r="MW247" s="21"/>
      <c r="MX247" s="21"/>
      <c r="MY247" s="21"/>
      <c r="MZ247" s="21"/>
      <c r="NA247" s="21"/>
      <c r="NB247" s="21"/>
      <c r="NC247" s="168">
        <v>758000</v>
      </c>
      <c r="ND247" s="168">
        <v>353000</v>
      </c>
      <c r="NE247" s="21"/>
      <c r="NF247" s="21"/>
      <c r="NG247" s="168">
        <v>15403000</v>
      </c>
      <c r="NH247" s="168">
        <v>14937000</v>
      </c>
      <c r="NI247" s="21"/>
      <c r="NJ247" s="21"/>
      <c r="NK247" s="21"/>
      <c r="NL247" s="21"/>
      <c r="NM247" s="21"/>
      <c r="NN247" s="21"/>
      <c r="NO247" s="168">
        <v>36769000</v>
      </c>
      <c r="NP247" s="168">
        <v>37631000</v>
      </c>
      <c r="NQ247" s="168" t="s">
        <v>1067</v>
      </c>
      <c r="NR247" s="168" t="s">
        <v>769</v>
      </c>
      <c r="NS247" s="168" t="s">
        <v>770</v>
      </c>
      <c r="NT247" s="168" t="s">
        <v>771</v>
      </c>
      <c r="NU247" s="168">
        <v>7601</v>
      </c>
      <c r="NV247" s="168" t="s">
        <v>2104</v>
      </c>
      <c r="NW247" s="168" t="s">
        <v>28</v>
      </c>
      <c r="NX247" s="168" t="s">
        <v>25</v>
      </c>
      <c r="NY247" s="169">
        <v>42825</v>
      </c>
      <c r="NZ247" s="169">
        <v>42460</v>
      </c>
      <c r="OA247" s="169">
        <v>42993</v>
      </c>
      <c r="OB247" s="168" t="s">
        <v>1359</v>
      </c>
      <c r="OC247" s="168">
        <v>12</v>
      </c>
      <c r="OD247" s="168" t="s">
        <v>2105</v>
      </c>
      <c r="OE247" s="168" t="s">
        <v>2345</v>
      </c>
      <c r="OF247" s="168" t="s">
        <v>2491</v>
      </c>
      <c r="OG247" s="168" t="s">
        <v>1984</v>
      </c>
      <c r="OH247" s="168" t="s">
        <v>1065</v>
      </c>
      <c r="OI247" s="168" t="s">
        <v>766</v>
      </c>
      <c r="OJ247" s="168" t="s">
        <v>3240</v>
      </c>
      <c r="OK247" s="168" t="s">
        <v>767</v>
      </c>
    </row>
    <row r="248" spans="1:401" x14ac:dyDescent="0.2">
      <c r="A248" s="170" t="str">
        <f>Liste[[#This Row],[Siren]]</f>
        <v>510651243</v>
      </c>
      <c r="B248" s="198" t="str">
        <f>Liste[[#This Row],[Dénomination]]&amp;" - comptes "&amp;YEAR(Liste[[#This Row],[Date de cloture de l''exercice]])</f>
        <v>BEN TOUCH - comptes 2017</v>
      </c>
      <c r="C248" s="21"/>
      <c r="D248" s="21"/>
      <c r="E248" s="168">
        <v>1000</v>
      </c>
      <c r="F248" s="168">
        <v>3068000</v>
      </c>
      <c r="G248" s="168">
        <v>2853000</v>
      </c>
      <c r="H248" s="168">
        <v>3069000</v>
      </c>
      <c r="I248" s="168">
        <v>3172000</v>
      </c>
      <c r="J248" s="168">
        <v>1310000</v>
      </c>
      <c r="K248" s="168">
        <v>1542000</v>
      </c>
      <c r="L248" s="168">
        <v>4481000</v>
      </c>
      <c r="M248" s="21"/>
      <c r="N248" s="168">
        <v>1079000</v>
      </c>
      <c r="O248" s="168">
        <v>1061000</v>
      </c>
      <c r="P248" s="168">
        <v>1079000</v>
      </c>
      <c r="Q248" s="21"/>
      <c r="R248" s="168">
        <v>570000</v>
      </c>
      <c r="S248" s="21"/>
      <c r="T248" s="168">
        <v>570000</v>
      </c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168">
        <v>2000</v>
      </c>
      <c r="AM248" s="168">
        <v>31000</v>
      </c>
      <c r="AN248" s="168">
        <v>2000</v>
      </c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168">
        <v>2442000</v>
      </c>
      <c r="BA248" s="168">
        <v>2709000</v>
      </c>
      <c r="BB248" s="168">
        <v>2442000</v>
      </c>
      <c r="BC248" s="168">
        <v>260000</v>
      </c>
      <c r="BD248" s="168">
        <v>5421000</v>
      </c>
      <c r="BE248" s="168">
        <v>3251000</v>
      </c>
      <c r="BF248" s="168">
        <v>5681000</v>
      </c>
      <c r="BG248" s="168">
        <v>403000</v>
      </c>
      <c r="BH248" s="168">
        <v>95000</v>
      </c>
      <c r="BI248" s="168">
        <v>124000</v>
      </c>
      <c r="BJ248" s="168">
        <v>498000</v>
      </c>
      <c r="BK248" s="168">
        <v>997000</v>
      </c>
      <c r="BL248" s="168">
        <v>642000</v>
      </c>
      <c r="BM248" s="168">
        <v>776000</v>
      </c>
      <c r="BN248" s="168">
        <v>1639000</v>
      </c>
      <c r="BO248" s="21"/>
      <c r="BP248" s="168">
        <v>21000</v>
      </c>
      <c r="BQ248" s="168">
        <v>21000</v>
      </c>
      <c r="BR248" s="168">
        <v>21000</v>
      </c>
      <c r="BS248" s="21"/>
      <c r="BT248" s="21"/>
      <c r="BU248" s="21"/>
      <c r="BV248" s="21"/>
      <c r="BW248" s="21"/>
      <c r="BX248" s="168">
        <v>4288000</v>
      </c>
      <c r="BY248" s="168">
        <v>4250000</v>
      </c>
      <c r="BZ248" s="168">
        <v>4288000</v>
      </c>
      <c r="CA248" s="21"/>
      <c r="CB248" s="21"/>
      <c r="CC248" s="21"/>
      <c r="CD248" s="168">
        <v>1368000</v>
      </c>
      <c r="CE248" s="21"/>
      <c r="CF248" s="21"/>
      <c r="CG248" s="168">
        <v>1368000</v>
      </c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168">
        <v>30000</v>
      </c>
      <c r="DD248" s="168">
        <v>22000</v>
      </c>
      <c r="DE248" s="168">
        <v>30000</v>
      </c>
      <c r="DF248" s="168">
        <v>1281000</v>
      </c>
      <c r="DG248" s="168">
        <v>467000</v>
      </c>
      <c r="DH248" s="168">
        <v>516000</v>
      </c>
      <c r="DI248" s="168">
        <v>1748000</v>
      </c>
      <c r="DJ248" s="21"/>
      <c r="DK248" s="21"/>
      <c r="DL248" s="21"/>
      <c r="DM248" s="21"/>
      <c r="DN248" s="21"/>
      <c r="DO248" s="21"/>
      <c r="DP248" s="21"/>
      <c r="DQ248" s="21"/>
      <c r="DR248" s="21"/>
      <c r="DS248" s="168">
        <v>459000</v>
      </c>
      <c r="DT248" s="168">
        <v>295000</v>
      </c>
      <c r="DU248" s="168">
        <v>459000</v>
      </c>
      <c r="DV248" s="21"/>
      <c r="DW248" s="168">
        <v>406000</v>
      </c>
      <c r="DX248" s="168">
        <v>403000</v>
      </c>
      <c r="DY248" s="168">
        <v>406000</v>
      </c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168">
        <v>7244000</v>
      </c>
      <c r="EL248" s="168">
        <v>5176000</v>
      </c>
      <c r="EM248" s="168">
        <v>5554000</v>
      </c>
      <c r="EN248" s="168">
        <v>12420000</v>
      </c>
      <c r="EO248" s="168">
        <v>261000</v>
      </c>
      <c r="EP248" s="168">
        <v>21493000</v>
      </c>
      <c r="EQ248" s="168">
        <v>19352000</v>
      </c>
      <c r="ER248" s="168">
        <v>21754000</v>
      </c>
      <c r="ES248" s="168">
        <v>7505000</v>
      </c>
      <c r="ET248" s="168">
        <v>26668000</v>
      </c>
      <c r="EU248" s="168">
        <v>24906000</v>
      </c>
      <c r="EV248" s="168">
        <v>34173000</v>
      </c>
      <c r="EW248" s="168">
        <v>24000</v>
      </c>
      <c r="EX248" s="168">
        <v>87000</v>
      </c>
      <c r="EY248" s="168">
        <v>92000</v>
      </c>
      <c r="EZ248" s="168">
        <v>111000</v>
      </c>
      <c r="FA248" s="21"/>
      <c r="FB248" s="21"/>
      <c r="FC248" s="21"/>
      <c r="FD248" s="21"/>
      <c r="FE248" s="21"/>
      <c r="FF248" s="21"/>
      <c r="FG248" s="21"/>
      <c r="FH248" s="21"/>
      <c r="FI248" s="168">
        <v>-8000</v>
      </c>
      <c r="FJ248" s="168">
        <v>106000</v>
      </c>
      <c r="FK248" s="21"/>
      <c r="FL248" s="21"/>
      <c r="FM248" s="21"/>
      <c r="FN248" s="21"/>
      <c r="FO248" s="21"/>
      <c r="FP248" s="21"/>
      <c r="FQ248" s="168">
        <v>69000</v>
      </c>
      <c r="FR248" s="168">
        <v>-15000</v>
      </c>
      <c r="FS248" s="21"/>
      <c r="FT248" s="21"/>
      <c r="FU248" s="168">
        <v>-36000</v>
      </c>
      <c r="FV248" s="168">
        <v>116000</v>
      </c>
      <c r="FW248" s="168">
        <v>93000</v>
      </c>
      <c r="FX248" s="168">
        <v>496000</v>
      </c>
      <c r="FY248" s="168">
        <v>304000</v>
      </c>
      <c r="FZ248" s="168">
        <v>86000</v>
      </c>
      <c r="GA248" s="21"/>
      <c r="GB248" s="21"/>
      <c r="GC248" s="21"/>
      <c r="GD248" s="21"/>
      <c r="GE248" s="21"/>
      <c r="GF248" s="21"/>
      <c r="GG248" s="21"/>
      <c r="GH248" s="21"/>
      <c r="GI248" s="21"/>
      <c r="GJ248" s="21"/>
      <c r="GK248" s="21"/>
      <c r="GL248" s="21"/>
      <c r="GM248" s="168">
        <v>182000</v>
      </c>
      <c r="GN248" s="168">
        <v>1674000</v>
      </c>
      <c r="GO248" s="21"/>
      <c r="GP248" s="21"/>
      <c r="GQ248" s="168">
        <v>164000</v>
      </c>
      <c r="GR248" s="168">
        <v>-7000</v>
      </c>
      <c r="GS248" s="21"/>
      <c r="GT248" s="21"/>
      <c r="GU248" s="168">
        <v>565000</v>
      </c>
      <c r="GV248" s="168">
        <v>2211000</v>
      </c>
      <c r="GW248" s="168">
        <v>557000</v>
      </c>
      <c r="GX248" s="168">
        <v>2317000</v>
      </c>
      <c r="GY248" s="21"/>
      <c r="GZ248" s="21"/>
      <c r="HA248" s="21"/>
      <c r="HB248" s="21"/>
      <c r="HC248" s="168">
        <v>17085000</v>
      </c>
      <c r="HD248" s="168">
        <v>17553000</v>
      </c>
      <c r="HE248" s="168">
        <v>73000</v>
      </c>
      <c r="HF248" s="168">
        <v>15000</v>
      </c>
      <c r="HG248" s="21"/>
      <c r="HH248" s="21"/>
      <c r="HI248" s="168">
        <v>3000</v>
      </c>
      <c r="HJ248" s="168">
        <v>3000</v>
      </c>
      <c r="HK248" s="21"/>
      <c r="HL248" s="21"/>
      <c r="HM248" s="21"/>
      <c r="HN248" s="21"/>
      <c r="HO248" s="21"/>
      <c r="HP248" s="21"/>
      <c r="HQ248" s="21"/>
      <c r="HR248" s="21"/>
      <c r="HS248" s="21"/>
      <c r="HT248" s="21"/>
      <c r="HU248" s="21"/>
      <c r="HV248" s="21"/>
      <c r="HW248" s="21"/>
      <c r="HX248" s="21"/>
      <c r="HY248" s="21"/>
      <c r="HZ248" s="21"/>
      <c r="IA248" s="21"/>
      <c r="IB248" s="21"/>
      <c r="IC248" s="21"/>
      <c r="ID248" s="21"/>
      <c r="IE248" s="168">
        <v>745000</v>
      </c>
      <c r="IF248" s="168">
        <v>1384000</v>
      </c>
      <c r="IG248" s="21"/>
      <c r="IH248" s="21"/>
      <c r="II248" s="21"/>
      <c r="IJ248" s="21"/>
      <c r="IK248" s="21"/>
      <c r="IL248" s="21"/>
      <c r="IM248" s="168">
        <v>-236000</v>
      </c>
      <c r="IN248" s="168">
        <v>-269000</v>
      </c>
      <c r="IO248" s="21"/>
      <c r="IP248" s="21"/>
      <c r="IQ248" s="21"/>
      <c r="IR248" s="21"/>
      <c r="IS248" s="21"/>
      <c r="IT248" s="21"/>
      <c r="IU248" s="168">
        <v>455000</v>
      </c>
      <c r="IV248" s="168">
        <v>2258000</v>
      </c>
      <c r="IW248" s="168">
        <v>625000</v>
      </c>
      <c r="IX248" s="168">
        <v>2469000</v>
      </c>
      <c r="IY248" s="168">
        <v>-170000</v>
      </c>
      <c r="IZ248" s="168">
        <v>-210000</v>
      </c>
      <c r="JA248" s="168">
        <v>418000</v>
      </c>
      <c r="JB248" s="168">
        <v>639000</v>
      </c>
      <c r="JC248" s="21"/>
      <c r="JD248" s="21"/>
      <c r="JE248" s="168">
        <v>28487000</v>
      </c>
      <c r="JF248" s="168">
        <v>32704000</v>
      </c>
      <c r="JG248" s="168">
        <v>252000</v>
      </c>
      <c r="JH248" s="168">
        <v>22000</v>
      </c>
      <c r="JI248" s="168">
        <v>61643000</v>
      </c>
      <c r="JJ248" s="168">
        <v>68075000</v>
      </c>
      <c r="JK248" s="168">
        <v>1411000</v>
      </c>
      <c r="JL248" s="168">
        <v>215000</v>
      </c>
      <c r="JM248" s="168">
        <v>62268000</v>
      </c>
      <c r="JN248" s="168">
        <v>70544000</v>
      </c>
      <c r="JO248" s="168">
        <v>1241000</v>
      </c>
      <c r="JP248" s="168">
        <v>5000</v>
      </c>
      <c r="JQ248" s="21"/>
      <c r="JR248" s="21"/>
      <c r="JS248" s="21"/>
      <c r="JT248" s="21"/>
      <c r="JU248" s="21"/>
      <c r="JV248" s="21"/>
      <c r="JW248" s="168">
        <v>61830000</v>
      </c>
      <c r="JX248" s="168">
        <v>70149000</v>
      </c>
      <c r="JY248" s="21"/>
      <c r="JZ248" s="21"/>
      <c r="KA248" s="21"/>
      <c r="KB248" s="21"/>
      <c r="KC248" s="21"/>
      <c r="KD248" s="21"/>
      <c r="KE248" s="21"/>
      <c r="KF248" s="21"/>
      <c r="KG248" s="21"/>
      <c r="KH248" s="21"/>
      <c r="KI248" s="21"/>
      <c r="KJ248" s="21"/>
      <c r="KK248" s="21"/>
      <c r="KL248" s="21"/>
      <c r="KM248" s="21"/>
      <c r="KN248" s="21"/>
      <c r="KO248" s="21"/>
      <c r="KP248" s="21"/>
      <c r="KQ248" s="168">
        <v>1505000</v>
      </c>
      <c r="KR248" s="168">
        <v>1095000</v>
      </c>
      <c r="KS248" s="21"/>
      <c r="KT248" s="21"/>
      <c r="KU248" s="21"/>
      <c r="KV248" s="21"/>
      <c r="KW248" s="21"/>
      <c r="KX248" s="21"/>
      <c r="KY248" s="168">
        <v>16000</v>
      </c>
      <c r="KZ248" s="168">
        <v>5000</v>
      </c>
      <c r="LA248" s="168">
        <v>6902000</v>
      </c>
      <c r="LB248" s="168">
        <v>6902000</v>
      </c>
      <c r="LC248" s="168">
        <v>-196000</v>
      </c>
      <c r="LD248" s="168">
        <v>21000</v>
      </c>
      <c r="LE248" s="168">
        <v>304000</v>
      </c>
      <c r="LF248" s="168">
        <v>86000</v>
      </c>
      <c r="LG248" s="21"/>
      <c r="LH248" s="21"/>
      <c r="LI248" s="168">
        <v>7796000</v>
      </c>
      <c r="LJ248" s="168">
        <v>7922000</v>
      </c>
      <c r="LK248" s="168">
        <v>3211000</v>
      </c>
      <c r="LL248" s="168">
        <v>2689000</v>
      </c>
      <c r="LM248" s="168">
        <v>3000</v>
      </c>
      <c r="LN248" s="21"/>
      <c r="LO248" s="21"/>
      <c r="LP248" s="21"/>
      <c r="LQ248" s="21"/>
      <c r="LR248" s="21"/>
      <c r="LS248" s="21"/>
      <c r="LT248" s="21"/>
      <c r="LU248" s="21"/>
      <c r="LV248" s="21"/>
      <c r="LW248" s="21"/>
      <c r="LX248" s="21"/>
      <c r="LY248" s="168">
        <v>45000</v>
      </c>
      <c r="LZ248" s="168">
        <v>59000</v>
      </c>
      <c r="MA248" s="168">
        <v>2175000</v>
      </c>
      <c r="MB248" s="168">
        <v>2936000</v>
      </c>
      <c r="MC248" s="168">
        <v>383000</v>
      </c>
      <c r="MD248" s="168">
        <v>373000</v>
      </c>
      <c r="ME248" s="21"/>
      <c r="MF248" s="21"/>
      <c r="MG248" s="21"/>
      <c r="MH248" s="21"/>
      <c r="MI248" s="21"/>
      <c r="MJ248" s="21"/>
      <c r="MK248" s="21"/>
      <c r="ML248" s="21"/>
      <c r="MM248" s="168">
        <v>5671000</v>
      </c>
      <c r="MN248" s="168">
        <v>4151000</v>
      </c>
      <c r="MO248" s="21"/>
      <c r="MP248" s="21"/>
      <c r="MQ248" s="21"/>
      <c r="MR248" s="21"/>
      <c r="MS248" s="21"/>
      <c r="MT248" s="21"/>
      <c r="MU248" s="21"/>
      <c r="MV248" s="21"/>
      <c r="MW248" s="21"/>
      <c r="MX248" s="21"/>
      <c r="MY248" s="21"/>
      <c r="MZ248" s="21"/>
      <c r="NA248" s="21"/>
      <c r="NB248" s="21"/>
      <c r="NC248" s="168">
        <v>182000</v>
      </c>
      <c r="ND248" s="168">
        <v>1674000</v>
      </c>
      <c r="NE248" s="21"/>
      <c r="NF248" s="21"/>
      <c r="NG248" s="168">
        <v>5049000</v>
      </c>
      <c r="NH248" s="168">
        <v>4814000</v>
      </c>
      <c r="NI248" s="21"/>
      <c r="NJ248" s="21"/>
      <c r="NK248" s="168">
        <v>108000</v>
      </c>
      <c r="NL248" s="168">
        <v>107000</v>
      </c>
      <c r="NM248" s="168">
        <v>21511000</v>
      </c>
      <c r="NN248" s="168">
        <v>19985000</v>
      </c>
      <c r="NO248" s="168">
        <v>26668000</v>
      </c>
      <c r="NP248" s="168">
        <v>24906000</v>
      </c>
      <c r="NQ248" s="168" t="s">
        <v>1534</v>
      </c>
      <c r="NR248" s="168" t="s">
        <v>769</v>
      </c>
      <c r="NS248" s="168" t="s">
        <v>770</v>
      </c>
      <c r="NT248" s="168" t="s">
        <v>771</v>
      </c>
      <c r="NU248" s="168">
        <v>4901</v>
      </c>
      <c r="NV248" s="168" t="s">
        <v>2104</v>
      </c>
      <c r="NW248" s="168" t="s">
        <v>28</v>
      </c>
      <c r="NX248" s="168" t="s">
        <v>25</v>
      </c>
      <c r="NY248" s="169">
        <v>42825</v>
      </c>
      <c r="NZ248" s="169">
        <v>42460</v>
      </c>
      <c r="OA248" s="169">
        <v>43025</v>
      </c>
      <c r="OB248" s="168" t="s">
        <v>1535</v>
      </c>
      <c r="OC248" s="168">
        <v>12</v>
      </c>
      <c r="OD248" s="168" t="s">
        <v>2105</v>
      </c>
      <c r="OE248" s="168" t="s">
        <v>2613</v>
      </c>
      <c r="OF248" s="168" t="s">
        <v>2614</v>
      </c>
      <c r="OG248" s="168" t="s">
        <v>2072</v>
      </c>
      <c r="OH248" s="168" t="s">
        <v>798</v>
      </c>
      <c r="OI248" s="168" t="s">
        <v>766</v>
      </c>
      <c r="OJ248" s="168" t="s">
        <v>3240</v>
      </c>
      <c r="OK248" s="168" t="s">
        <v>767</v>
      </c>
    </row>
    <row r="249" spans="1:401" x14ac:dyDescent="0.2">
      <c r="A249" s="170" t="str">
        <f>Liste[[#This Row],[Siren]]</f>
        <v>302354428</v>
      </c>
      <c r="B249" s="198" t="str">
        <f>Liste[[#This Row],[Dénomination]]&amp;" - comptes "&amp;YEAR(Liste[[#This Row],[Date de cloture de l''exercice]])</f>
        <v>TOUSPORTS - comptes 2017</v>
      </c>
      <c r="C249" s="21"/>
      <c r="D249" s="21"/>
      <c r="E249" s="21"/>
      <c r="F249" s="168">
        <v>2891047</v>
      </c>
      <c r="G249" s="168">
        <v>2570867</v>
      </c>
      <c r="H249" s="168">
        <v>2891047</v>
      </c>
      <c r="I249" s="168">
        <v>6470219</v>
      </c>
      <c r="J249" s="168">
        <v>4944072</v>
      </c>
      <c r="K249" s="168">
        <v>4209995</v>
      </c>
      <c r="L249" s="168">
        <v>11414291</v>
      </c>
      <c r="M249" s="21"/>
      <c r="N249" s="168">
        <v>738915</v>
      </c>
      <c r="O249" s="168">
        <v>649830</v>
      </c>
      <c r="P249" s="168">
        <v>738915</v>
      </c>
      <c r="Q249" s="168">
        <v>250</v>
      </c>
      <c r="R249" s="21"/>
      <c r="S249" s="21"/>
      <c r="T249" s="168">
        <v>250</v>
      </c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168">
        <v>675002</v>
      </c>
      <c r="BA249" s="168">
        <v>611689</v>
      </c>
      <c r="BB249" s="168">
        <v>675002</v>
      </c>
      <c r="BC249" s="168">
        <v>99448</v>
      </c>
      <c r="BD249" s="168">
        <v>787960</v>
      </c>
      <c r="BE249" s="168">
        <v>942689</v>
      </c>
      <c r="BF249" s="168">
        <v>887408</v>
      </c>
      <c r="BG249" s="168">
        <v>79112</v>
      </c>
      <c r="BH249" s="168">
        <v>23954</v>
      </c>
      <c r="BI249" s="168">
        <v>642</v>
      </c>
      <c r="BJ249" s="168">
        <v>103066</v>
      </c>
      <c r="BK249" s="168">
        <v>6287466</v>
      </c>
      <c r="BL249" s="168">
        <v>16798618</v>
      </c>
      <c r="BM249" s="168">
        <v>8296747</v>
      </c>
      <c r="BN249" s="168">
        <v>23086084</v>
      </c>
      <c r="BO249" s="21"/>
      <c r="BP249" s="21"/>
      <c r="BQ249" s="21"/>
      <c r="BR249" s="21"/>
      <c r="BS249" s="21"/>
      <c r="BT249" s="21"/>
      <c r="BU249" s="21"/>
      <c r="BV249" s="21"/>
      <c r="BW249" s="21"/>
      <c r="BX249" s="168">
        <v>6088013</v>
      </c>
      <c r="BY249" s="168">
        <v>3862606</v>
      </c>
      <c r="BZ249" s="168">
        <v>6088013</v>
      </c>
      <c r="CA249" s="21"/>
      <c r="CB249" s="21"/>
      <c r="CC249" s="21"/>
      <c r="CD249" s="168">
        <v>2360877</v>
      </c>
      <c r="CE249" s="168">
        <v>1053363</v>
      </c>
      <c r="CF249" s="168">
        <v>1053363</v>
      </c>
      <c r="CG249" s="168">
        <v>3414240</v>
      </c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168">
        <v>10250</v>
      </c>
      <c r="CY249" s="21"/>
      <c r="CZ249" s="21"/>
      <c r="DA249" s="168">
        <v>10250</v>
      </c>
      <c r="DB249" s="21"/>
      <c r="DC249" s="168">
        <v>907921</v>
      </c>
      <c r="DD249" s="168">
        <v>1097012</v>
      </c>
      <c r="DE249" s="168">
        <v>907921</v>
      </c>
      <c r="DF249" s="168">
        <v>454267</v>
      </c>
      <c r="DG249" s="168">
        <v>81937</v>
      </c>
      <c r="DH249" s="168">
        <v>83153</v>
      </c>
      <c r="DI249" s="168">
        <v>536204</v>
      </c>
      <c r="DJ249" s="168">
        <v>591891</v>
      </c>
      <c r="DK249" s="168">
        <v>25470004</v>
      </c>
      <c r="DL249" s="168">
        <v>20390053</v>
      </c>
      <c r="DM249" s="168">
        <v>26061895</v>
      </c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168">
        <v>15690823</v>
      </c>
      <c r="EL249" s="168">
        <v>26258044</v>
      </c>
      <c r="EM249" s="168">
        <v>16952656</v>
      </c>
      <c r="EN249" s="168">
        <v>41948867</v>
      </c>
      <c r="EO249" s="168">
        <v>691339</v>
      </c>
      <c r="EP249" s="168">
        <v>37885638</v>
      </c>
      <c r="EQ249" s="168">
        <v>31813754</v>
      </c>
      <c r="ER249" s="168">
        <v>38576977</v>
      </c>
      <c r="ES249" s="168">
        <v>16382162</v>
      </c>
      <c r="ET249" s="168">
        <v>64143682</v>
      </c>
      <c r="EU249" s="168">
        <v>48766410</v>
      </c>
      <c r="EV249" s="168">
        <v>80525844</v>
      </c>
      <c r="EW249" s="168">
        <v>1788</v>
      </c>
      <c r="EX249" s="168">
        <v>421978</v>
      </c>
      <c r="EY249" s="168">
        <v>77905</v>
      </c>
      <c r="EZ249" s="168">
        <v>423766</v>
      </c>
      <c r="FA249" s="21"/>
      <c r="FB249" s="21"/>
      <c r="FC249" s="21"/>
      <c r="FD249" s="21"/>
      <c r="FE249" s="21"/>
      <c r="FF249" s="21"/>
      <c r="FG249" s="168">
        <v>2000000</v>
      </c>
      <c r="FH249" s="21"/>
      <c r="FI249" s="168">
        <v>-202523</v>
      </c>
      <c r="FJ249" s="168">
        <v>103735</v>
      </c>
      <c r="FK249" s="168">
        <v>4435505</v>
      </c>
      <c r="FL249" s="168">
        <v>4414729</v>
      </c>
      <c r="FM249" s="168">
        <v>89336</v>
      </c>
      <c r="FN249" s="168">
        <v>67224</v>
      </c>
      <c r="FO249" s="168">
        <v>152189</v>
      </c>
      <c r="FP249" s="168">
        <v>107171</v>
      </c>
      <c r="FQ249" s="168">
        <v>-1620</v>
      </c>
      <c r="FR249" s="168">
        <v>470202</v>
      </c>
      <c r="FS249" s="168">
        <v>110923</v>
      </c>
      <c r="FT249" s="168">
        <v>1595</v>
      </c>
      <c r="FU249" s="168">
        <v>-7813</v>
      </c>
      <c r="FV249" s="168">
        <v>7674</v>
      </c>
      <c r="FW249" s="168">
        <v>1786714</v>
      </c>
      <c r="FX249" s="168">
        <v>1701079</v>
      </c>
      <c r="FY249" s="168">
        <v>623697</v>
      </c>
      <c r="FZ249" s="168">
        <v>476540</v>
      </c>
      <c r="GA249" s="21"/>
      <c r="GB249" s="21"/>
      <c r="GC249" s="168">
        <v>61758</v>
      </c>
      <c r="GD249" s="168">
        <v>80256</v>
      </c>
      <c r="GE249" s="168">
        <v>88167</v>
      </c>
      <c r="GF249" s="168">
        <v>153469</v>
      </c>
      <c r="GG249" s="21"/>
      <c r="GH249" s="21"/>
      <c r="GI249" s="21"/>
      <c r="GJ249" s="21"/>
      <c r="GK249" s="21"/>
      <c r="GL249" s="168">
        <v>46000</v>
      </c>
      <c r="GM249" s="168">
        <v>4437125</v>
      </c>
      <c r="GN249" s="168">
        <v>3944527</v>
      </c>
      <c r="GO249" s="168">
        <v>4435505</v>
      </c>
      <c r="GP249" s="168">
        <v>4414729</v>
      </c>
      <c r="GQ249" s="21"/>
      <c r="GR249" s="21"/>
      <c r="GS249" s="168">
        <v>3813428</v>
      </c>
      <c r="GT249" s="168">
        <v>3467987</v>
      </c>
      <c r="GU249" s="168">
        <v>352448</v>
      </c>
      <c r="GV249" s="168">
        <v>175990</v>
      </c>
      <c r="GW249" s="168">
        <v>149925</v>
      </c>
      <c r="GX249" s="168">
        <v>279725</v>
      </c>
      <c r="GY249" s="168">
        <v>66418451</v>
      </c>
      <c r="GZ249" s="168">
        <v>53356869</v>
      </c>
      <c r="HA249" s="21"/>
      <c r="HB249" s="168">
        <v>11509</v>
      </c>
      <c r="HC249" s="168">
        <v>14634471</v>
      </c>
      <c r="HD249" s="168">
        <v>11809665</v>
      </c>
      <c r="HE249" s="168">
        <v>57701</v>
      </c>
      <c r="HF249" s="168">
        <v>43558</v>
      </c>
      <c r="HG249" s="168">
        <v>30</v>
      </c>
      <c r="HH249" s="168">
        <v>1436</v>
      </c>
      <c r="HI249" s="21"/>
      <c r="HJ249" s="21"/>
      <c r="HK249" s="21"/>
      <c r="HL249" s="21"/>
      <c r="HM249" s="21"/>
      <c r="HN249" s="21"/>
      <c r="HO249" s="168">
        <v>2561880</v>
      </c>
      <c r="HP249" s="168">
        <v>2225363</v>
      </c>
      <c r="HQ249" s="21"/>
      <c r="HR249" s="168">
        <v>128577</v>
      </c>
      <c r="HS249" s="21"/>
      <c r="HT249" s="21"/>
      <c r="HU249" s="168">
        <v>2554186</v>
      </c>
      <c r="HV249" s="168">
        <v>2004927</v>
      </c>
      <c r="HW249" s="168">
        <v>448982</v>
      </c>
      <c r="HX249" s="168">
        <v>334809</v>
      </c>
      <c r="HY249" s="21"/>
      <c r="HZ249" s="21"/>
      <c r="IA249" s="21"/>
      <c r="IB249" s="21"/>
      <c r="IC249" s="21"/>
      <c r="ID249" s="21"/>
      <c r="IE249" s="168">
        <v>1076237</v>
      </c>
      <c r="IF249" s="168">
        <v>938662</v>
      </c>
      <c r="IG249" s="168">
        <v>581463</v>
      </c>
      <c r="IH249" s="168">
        <v>476008</v>
      </c>
      <c r="II249" s="21"/>
      <c r="IJ249" s="21"/>
      <c r="IK249" s="21"/>
      <c r="IL249" s="21"/>
      <c r="IM249" s="21"/>
      <c r="IN249" s="21"/>
      <c r="IO249" s="21"/>
      <c r="IP249" s="21"/>
      <c r="IQ249" s="168">
        <v>3060</v>
      </c>
      <c r="IR249" s="168">
        <v>3526</v>
      </c>
      <c r="IS249" s="21"/>
      <c r="IT249" s="168">
        <v>155</v>
      </c>
      <c r="IU249" s="168">
        <v>6416929</v>
      </c>
      <c r="IV249" s="168">
        <v>6019747</v>
      </c>
      <c r="IW249" s="168">
        <v>6995302</v>
      </c>
      <c r="IX249" s="168">
        <v>6554467</v>
      </c>
      <c r="IY249" s="168">
        <v>-578373</v>
      </c>
      <c r="IZ249" s="168">
        <v>-534720</v>
      </c>
      <c r="JA249" s="168">
        <v>221925</v>
      </c>
      <c r="JB249" s="168">
        <v>308433</v>
      </c>
      <c r="JC249" s="21"/>
      <c r="JD249" s="168">
        <v>64748</v>
      </c>
      <c r="JE249" s="168">
        <v>11787411</v>
      </c>
      <c r="JF249" s="168">
        <v>10267005</v>
      </c>
      <c r="JG249" s="168">
        <v>171085</v>
      </c>
      <c r="JH249" s="168">
        <v>28342</v>
      </c>
      <c r="JI249" s="168">
        <v>94381859</v>
      </c>
      <c r="JJ249" s="168">
        <v>78547167</v>
      </c>
      <c r="JK249" s="168">
        <v>581463</v>
      </c>
      <c r="JL249" s="168">
        <v>604585</v>
      </c>
      <c r="JM249" s="168">
        <v>101377161</v>
      </c>
      <c r="JN249" s="168">
        <v>85101634</v>
      </c>
      <c r="JO249" s="168">
        <v>3090</v>
      </c>
      <c r="JP249" s="168">
        <v>69865</v>
      </c>
      <c r="JQ249" s="168">
        <v>-5157460</v>
      </c>
      <c r="JR249" s="168">
        <v>-2446851</v>
      </c>
      <c r="JS249" s="21"/>
      <c r="JT249" s="168">
        <v>1651</v>
      </c>
      <c r="JU249" s="21"/>
      <c r="JV249" s="21"/>
      <c r="JW249" s="168">
        <v>100984151</v>
      </c>
      <c r="JX249" s="168">
        <v>84764859</v>
      </c>
      <c r="JY249" s="21"/>
      <c r="JZ249" s="21"/>
      <c r="KA249" s="21"/>
      <c r="KB249" s="21"/>
      <c r="KC249" s="21"/>
      <c r="KD249" s="21"/>
      <c r="KE249" s="21"/>
      <c r="KF249" s="21"/>
      <c r="KG249" s="21"/>
      <c r="KH249" s="21"/>
      <c r="KI249" s="168">
        <v>100740399</v>
      </c>
      <c r="KJ249" s="168">
        <v>84578158</v>
      </c>
      <c r="KK249" s="21"/>
      <c r="KL249" s="21"/>
      <c r="KM249" s="21"/>
      <c r="KN249" s="21"/>
      <c r="KO249" s="21"/>
      <c r="KP249" s="21"/>
      <c r="KQ249" s="168">
        <v>486182</v>
      </c>
      <c r="KR249" s="168">
        <v>667681</v>
      </c>
      <c r="KS249" s="21"/>
      <c r="KT249" s="21"/>
      <c r="KU249" s="168">
        <v>6107315</v>
      </c>
      <c r="KV249" s="168">
        <v>4460243</v>
      </c>
      <c r="KW249" s="21"/>
      <c r="KX249" s="21"/>
      <c r="KY249" s="168">
        <v>5646</v>
      </c>
      <c r="KZ249" s="21"/>
      <c r="LA249" s="168">
        <v>210000</v>
      </c>
      <c r="LB249" s="168">
        <v>210000</v>
      </c>
      <c r="LC249" s="21"/>
      <c r="LD249" s="21"/>
      <c r="LE249" s="21"/>
      <c r="LF249" s="21"/>
      <c r="LG249" s="21"/>
      <c r="LH249" s="21"/>
      <c r="LI249" s="168">
        <v>3835522</v>
      </c>
      <c r="LJ249" s="168">
        <v>3029464</v>
      </c>
      <c r="LK249" s="168">
        <v>7288986</v>
      </c>
      <c r="LL249" s="168">
        <v>6075779</v>
      </c>
      <c r="LM249" s="168">
        <v>18950</v>
      </c>
      <c r="LN249" s="168">
        <v>321865</v>
      </c>
      <c r="LO249" s="21"/>
      <c r="LP249" s="21"/>
      <c r="LQ249" s="21"/>
      <c r="LR249" s="21"/>
      <c r="LS249" s="21"/>
      <c r="LT249" s="21"/>
      <c r="LU249" s="21"/>
      <c r="LV249" s="21"/>
      <c r="LW249" s="21"/>
      <c r="LX249" s="21"/>
      <c r="LY249" s="21"/>
      <c r="LZ249" s="21"/>
      <c r="MA249" s="168">
        <v>26677399</v>
      </c>
      <c r="MB249" s="168">
        <v>17149472</v>
      </c>
      <c r="MC249" s="168">
        <v>317197</v>
      </c>
      <c r="MD249" s="168">
        <v>579896</v>
      </c>
      <c r="ME249" s="21"/>
      <c r="MF249" s="21"/>
      <c r="MG249" s="21"/>
      <c r="MH249" s="21"/>
      <c r="MI249" s="21"/>
      <c r="MJ249" s="21"/>
      <c r="MK249" s="21"/>
      <c r="ML249" s="21"/>
      <c r="MM249" s="168">
        <v>33482</v>
      </c>
      <c r="MN249" s="168">
        <v>33446</v>
      </c>
      <c r="MO249" s="21"/>
      <c r="MP249" s="21"/>
      <c r="MQ249" s="21"/>
      <c r="MR249" s="21"/>
      <c r="MS249" s="21"/>
      <c r="MT249" s="21"/>
      <c r="MU249" s="21"/>
      <c r="MV249" s="21"/>
      <c r="MW249" s="168">
        <v>21000</v>
      </c>
      <c r="MX249" s="168">
        <v>21000</v>
      </c>
      <c r="MY249" s="21"/>
      <c r="MZ249" s="21"/>
      <c r="NA249" s="21"/>
      <c r="NB249" s="21"/>
      <c r="NC249" s="168">
        <v>3813428</v>
      </c>
      <c r="ND249" s="168">
        <v>3467987</v>
      </c>
      <c r="NE249" s="21"/>
      <c r="NF249" s="21"/>
      <c r="NG249" s="168">
        <v>22186475</v>
      </c>
      <c r="NH249" s="168">
        <v>18373057</v>
      </c>
      <c r="NI249" s="21"/>
      <c r="NJ249" s="21"/>
      <c r="NK249" s="21"/>
      <c r="NL249" s="21"/>
      <c r="NM249" s="21"/>
      <c r="NN249" s="21"/>
      <c r="NO249" s="168">
        <v>64143682</v>
      </c>
      <c r="NP249" s="168">
        <v>48766410</v>
      </c>
      <c r="NQ249" s="168" t="s">
        <v>891</v>
      </c>
      <c r="NR249" s="168" t="s">
        <v>797</v>
      </c>
      <c r="NS249" s="168" t="s">
        <v>770</v>
      </c>
      <c r="NT249" s="168" t="s">
        <v>771</v>
      </c>
      <c r="NU249" s="168">
        <v>5002</v>
      </c>
      <c r="NV249" s="168" t="s">
        <v>2104</v>
      </c>
      <c r="NW249" s="168" t="s">
        <v>28</v>
      </c>
      <c r="NX249" s="168" t="s">
        <v>25</v>
      </c>
      <c r="NY249" s="169">
        <v>42794</v>
      </c>
      <c r="NZ249" s="169">
        <v>42429</v>
      </c>
      <c r="OA249" s="169">
        <v>42977</v>
      </c>
      <c r="OB249" s="168" t="s">
        <v>892</v>
      </c>
      <c r="OC249" s="168">
        <v>12</v>
      </c>
      <c r="OD249" s="168" t="s">
        <v>2105</v>
      </c>
      <c r="OE249" s="168" t="s">
        <v>2145</v>
      </c>
      <c r="OF249" s="168" t="s">
        <v>2146</v>
      </c>
      <c r="OG249" s="168" t="s">
        <v>1828</v>
      </c>
      <c r="OH249" s="168" t="s">
        <v>890</v>
      </c>
      <c r="OI249" s="168" t="s">
        <v>766</v>
      </c>
      <c r="OJ249" s="168" t="s">
        <v>3240</v>
      </c>
      <c r="OK249" s="168" t="s">
        <v>796</v>
      </c>
    </row>
    <row r="250" spans="1:401" x14ac:dyDescent="0.2">
      <c r="A250" s="170" t="str">
        <f>Liste[[#This Row],[Siren]]</f>
        <v>750486599</v>
      </c>
      <c r="B250" s="198" t="str">
        <f>Liste[[#This Row],[Dénomination]]&amp;" - comptes "&amp;YEAR(Liste[[#This Row],[Date de cloture de l''exercice]])</f>
        <v>SAS HOLDING FT - comptes 2017</v>
      </c>
      <c r="C250" s="21"/>
      <c r="D250" s="21"/>
      <c r="E250" s="21"/>
      <c r="F250" s="168">
        <v>1131751</v>
      </c>
      <c r="G250" s="168">
        <v>1095069</v>
      </c>
      <c r="H250" s="168">
        <v>1131751</v>
      </c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168">
        <v>69280</v>
      </c>
      <c r="BE250" s="168">
        <v>64157</v>
      </c>
      <c r="BF250" s="168">
        <v>69280</v>
      </c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168">
        <v>3237225</v>
      </c>
      <c r="BY250" s="168">
        <v>3312882</v>
      </c>
      <c r="BZ250" s="168">
        <v>3237225</v>
      </c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168">
        <v>18175645</v>
      </c>
      <c r="EM250" s="168">
        <v>18323135</v>
      </c>
      <c r="EN250" s="168">
        <v>18175645</v>
      </c>
      <c r="EO250" s="21"/>
      <c r="EP250" s="168">
        <v>10629584</v>
      </c>
      <c r="EQ250" s="168">
        <v>10826068</v>
      </c>
      <c r="ER250" s="168">
        <v>10629584</v>
      </c>
      <c r="ES250" s="21"/>
      <c r="ET250" s="168">
        <v>28805229</v>
      </c>
      <c r="EU250" s="168">
        <v>29149203</v>
      </c>
      <c r="EV250" s="168">
        <v>28805229</v>
      </c>
      <c r="EW250" s="21"/>
      <c r="EX250" s="21"/>
      <c r="EY250" s="21"/>
      <c r="EZ250" s="21"/>
      <c r="FA250" s="21"/>
      <c r="FB250" s="21"/>
      <c r="FC250" s="21"/>
      <c r="FD250" s="21"/>
      <c r="FE250" s="21"/>
      <c r="FF250" s="168">
        <v>3146721</v>
      </c>
      <c r="FG250" s="168">
        <v>3360054</v>
      </c>
      <c r="FH250" s="168">
        <v>3146721</v>
      </c>
      <c r="FI250" s="21"/>
      <c r="FJ250" s="21"/>
      <c r="FK250" s="21"/>
      <c r="FL250" s="21"/>
      <c r="FM250" s="21"/>
      <c r="FN250" s="21"/>
      <c r="FO250" s="21"/>
      <c r="FP250" s="21"/>
      <c r="FQ250" s="21"/>
      <c r="FR250" s="21"/>
      <c r="FS250" s="21"/>
      <c r="FT250" s="21"/>
      <c r="FU250" s="168">
        <v>29390</v>
      </c>
      <c r="FV250" s="168">
        <v>-24079</v>
      </c>
      <c r="FW250" s="168">
        <v>584090</v>
      </c>
      <c r="FX250" s="168">
        <v>704299</v>
      </c>
      <c r="FY250" s="168">
        <v>127</v>
      </c>
      <c r="FZ250" s="168">
        <v>152</v>
      </c>
      <c r="GA250" s="21"/>
      <c r="GB250" s="21"/>
      <c r="GC250" s="21"/>
      <c r="GD250" s="21"/>
      <c r="GE250" s="21"/>
      <c r="GF250" s="21"/>
      <c r="GG250" s="21"/>
      <c r="GH250" s="21"/>
      <c r="GI250" s="21"/>
      <c r="GJ250" s="21"/>
      <c r="GK250" s="21"/>
      <c r="GL250" s="21"/>
      <c r="GM250" s="168">
        <v>1542458</v>
      </c>
      <c r="GN250" s="168">
        <v>1674154</v>
      </c>
      <c r="GO250" s="168">
        <v>1542458</v>
      </c>
      <c r="GP250" s="168">
        <v>1674154</v>
      </c>
      <c r="GQ250" s="21"/>
      <c r="GR250" s="21"/>
      <c r="GS250" s="168">
        <v>1542331</v>
      </c>
      <c r="GT250" s="168">
        <v>1674002</v>
      </c>
      <c r="GU250" s="21"/>
      <c r="GV250" s="21"/>
      <c r="GW250" s="21"/>
      <c r="GX250" s="21"/>
      <c r="GY250" s="21"/>
      <c r="GZ250" s="21"/>
      <c r="HA250" s="21"/>
      <c r="HB250" s="21"/>
      <c r="HC250" s="21"/>
      <c r="HD250" s="21"/>
      <c r="HE250" s="168">
        <v>3807918</v>
      </c>
      <c r="HF250" s="168">
        <v>3795361</v>
      </c>
      <c r="HG250" s="21"/>
      <c r="HH250" s="21"/>
      <c r="HI250" s="168">
        <v>328908</v>
      </c>
      <c r="HJ250" s="168">
        <v>295029</v>
      </c>
      <c r="HK250" s="21"/>
      <c r="HL250" s="21"/>
      <c r="HM250" s="21"/>
      <c r="HN250" s="21"/>
      <c r="HO250" s="21"/>
      <c r="HP250" s="21"/>
      <c r="HQ250" s="21"/>
      <c r="HR250" s="21"/>
      <c r="HS250" s="21"/>
      <c r="HT250" s="21"/>
      <c r="HU250" s="21"/>
      <c r="HV250" s="21"/>
      <c r="HW250" s="21"/>
      <c r="HX250" s="21"/>
      <c r="HY250" s="21"/>
      <c r="HZ250" s="21"/>
      <c r="IA250" s="21"/>
      <c r="IB250" s="21"/>
      <c r="IC250" s="21"/>
      <c r="ID250" s="21"/>
      <c r="IE250" s="21"/>
      <c r="IF250" s="21"/>
      <c r="IG250" s="21"/>
      <c r="IH250" s="21"/>
      <c r="II250" s="21"/>
      <c r="IJ250" s="21"/>
      <c r="IK250" s="21"/>
      <c r="IL250" s="21"/>
      <c r="IM250" s="21"/>
      <c r="IN250" s="21"/>
      <c r="IO250" s="21"/>
      <c r="IP250" s="21"/>
      <c r="IQ250" s="21"/>
      <c r="IR250" s="21"/>
      <c r="IS250" s="21"/>
      <c r="IT250" s="21"/>
      <c r="IU250" s="168">
        <v>2353188</v>
      </c>
      <c r="IV250" s="168">
        <v>2397385</v>
      </c>
      <c r="IW250" s="168">
        <v>2363165</v>
      </c>
      <c r="IX250" s="168">
        <v>2812608</v>
      </c>
      <c r="IY250" s="21"/>
      <c r="IZ250" s="21"/>
      <c r="JA250" s="21"/>
      <c r="JB250" s="21"/>
      <c r="JC250" s="21"/>
      <c r="JD250" s="21"/>
      <c r="JE250" s="21"/>
      <c r="JF250" s="21"/>
      <c r="JG250" s="21"/>
      <c r="JH250" s="21"/>
      <c r="JI250" s="168">
        <v>54671662</v>
      </c>
      <c r="JJ250" s="168">
        <v>53836678</v>
      </c>
      <c r="JK250" s="21"/>
      <c r="JL250" s="21"/>
      <c r="JM250" s="168">
        <v>57034827</v>
      </c>
      <c r="JN250" s="168">
        <v>56649286</v>
      </c>
      <c r="JO250" s="21"/>
      <c r="JP250" s="21"/>
      <c r="JQ250" s="21"/>
      <c r="JR250" s="21"/>
      <c r="JS250" s="21"/>
      <c r="JT250" s="21"/>
      <c r="JU250" s="21"/>
      <c r="JV250" s="21"/>
      <c r="JW250" s="168">
        <v>56705919</v>
      </c>
      <c r="JX250" s="168">
        <v>56354257</v>
      </c>
      <c r="JY250" s="21"/>
      <c r="JZ250" s="21"/>
      <c r="KA250" s="21"/>
      <c r="KB250" s="21"/>
      <c r="KC250" s="21"/>
      <c r="KD250" s="21"/>
      <c r="KE250" s="21"/>
      <c r="KF250" s="21"/>
      <c r="KG250" s="21"/>
      <c r="KH250" s="21"/>
      <c r="KI250" s="21"/>
      <c r="KJ250" s="21"/>
      <c r="KK250" s="21"/>
      <c r="KL250" s="21"/>
      <c r="KM250" s="21"/>
      <c r="KN250" s="21"/>
      <c r="KO250" s="21"/>
      <c r="KP250" s="21"/>
      <c r="KQ250" s="21"/>
      <c r="KR250" s="21"/>
      <c r="KS250" s="21"/>
      <c r="KT250" s="21"/>
      <c r="KU250" s="21"/>
      <c r="KV250" s="21"/>
      <c r="KW250" s="21"/>
      <c r="KX250" s="21"/>
      <c r="KY250" s="21"/>
      <c r="KZ250" s="21"/>
      <c r="LA250" s="168">
        <v>2499250</v>
      </c>
      <c r="LB250" s="168">
        <v>2499250</v>
      </c>
      <c r="LC250" s="21"/>
      <c r="LD250" s="21"/>
      <c r="LE250" s="21"/>
      <c r="LF250" s="21"/>
      <c r="LG250" s="21"/>
      <c r="LH250" s="21"/>
      <c r="LI250" s="21"/>
      <c r="LJ250" s="21"/>
      <c r="LK250" s="168">
        <v>3116901</v>
      </c>
      <c r="LL250" s="168">
        <v>3161630</v>
      </c>
      <c r="LM250" s="21"/>
      <c r="LN250" s="21"/>
      <c r="LO250" s="21"/>
      <c r="LP250" s="21"/>
      <c r="LQ250" s="21"/>
      <c r="LR250" s="21"/>
      <c r="LS250" s="21"/>
      <c r="LT250" s="21"/>
      <c r="LU250" s="21"/>
      <c r="LV250" s="21"/>
      <c r="LW250" s="21"/>
      <c r="LX250" s="21"/>
      <c r="LY250" s="21"/>
      <c r="LZ250" s="21"/>
      <c r="MA250" s="21"/>
      <c r="MB250" s="21"/>
      <c r="MC250" s="168">
        <v>13167913</v>
      </c>
      <c r="MD250" s="168">
        <v>14939803</v>
      </c>
      <c r="ME250" s="21"/>
      <c r="MF250" s="21"/>
      <c r="MG250" s="21"/>
      <c r="MH250" s="21"/>
      <c r="MI250" s="21"/>
      <c r="MJ250" s="21"/>
      <c r="MK250" s="21"/>
      <c r="ML250" s="21"/>
      <c r="MM250" s="21"/>
      <c r="MN250" s="21"/>
      <c r="MO250" s="21"/>
      <c r="MP250" s="21"/>
      <c r="MQ250" s="21"/>
      <c r="MR250" s="21"/>
      <c r="MS250" s="21"/>
      <c r="MT250" s="21"/>
      <c r="MU250" s="21"/>
      <c r="MV250" s="21"/>
      <c r="MW250" s="168">
        <v>6292212</v>
      </c>
      <c r="MX250" s="168">
        <v>4618211</v>
      </c>
      <c r="MY250" s="21"/>
      <c r="MZ250" s="21"/>
      <c r="NA250" s="21"/>
      <c r="NB250" s="21"/>
      <c r="NC250" s="168">
        <v>1542331</v>
      </c>
      <c r="ND250" s="168">
        <v>1674002</v>
      </c>
      <c r="NE250" s="21"/>
      <c r="NF250" s="21"/>
      <c r="NG250" s="168">
        <v>10333793</v>
      </c>
      <c r="NH250" s="168">
        <v>8791463</v>
      </c>
      <c r="NI250" s="21"/>
      <c r="NJ250" s="21"/>
      <c r="NK250" s="168">
        <v>1457</v>
      </c>
      <c r="NL250" s="168">
        <v>1407</v>
      </c>
      <c r="NM250" s="168">
        <v>18327099</v>
      </c>
      <c r="NN250" s="168">
        <v>20143678</v>
      </c>
      <c r="NO250" s="168">
        <v>28805229</v>
      </c>
      <c r="NP250" s="168">
        <v>29149203</v>
      </c>
      <c r="NQ250" s="168" t="s">
        <v>1460</v>
      </c>
      <c r="NR250" s="168" t="s">
        <v>769</v>
      </c>
      <c r="NS250" s="168" t="s">
        <v>770</v>
      </c>
      <c r="NT250" s="168" t="s">
        <v>771</v>
      </c>
      <c r="NU250" s="168">
        <v>8302</v>
      </c>
      <c r="NV250" s="168" t="s">
        <v>2104</v>
      </c>
      <c r="NW250" s="168" t="s">
        <v>28</v>
      </c>
      <c r="NX250" s="168" t="s">
        <v>25</v>
      </c>
      <c r="NY250" s="169">
        <v>42794</v>
      </c>
      <c r="NZ250" s="169">
        <v>42429</v>
      </c>
      <c r="OA250" s="169">
        <v>43042</v>
      </c>
      <c r="OB250" s="168" t="s">
        <v>1461</v>
      </c>
      <c r="OC250" s="168">
        <v>12</v>
      </c>
      <c r="OD250" s="168" t="s">
        <v>2105</v>
      </c>
      <c r="OE250" s="168" t="s">
        <v>2483</v>
      </c>
      <c r="OF250" s="168" t="s">
        <v>2559</v>
      </c>
      <c r="OG250" s="168" t="s">
        <v>2031</v>
      </c>
      <c r="OH250" s="168" t="s">
        <v>849</v>
      </c>
      <c r="OI250" s="168" t="s">
        <v>766</v>
      </c>
      <c r="OJ250" s="168" t="s">
        <v>3240</v>
      </c>
      <c r="OK250" s="168" t="s">
        <v>767</v>
      </c>
    </row>
    <row r="251" spans="1:401" x14ac:dyDescent="0.2">
      <c r="A251" s="170" t="str">
        <f>Liste[[#This Row],[Siren]]</f>
        <v>518466495</v>
      </c>
      <c r="B251" s="198" t="str">
        <f>Liste[[#This Row],[Dénomination]]&amp;" - comptes "&amp;YEAR(Liste[[#This Row],[Date de cloture de l''exercice]])</f>
        <v>GANEX - comptes 2017</v>
      </c>
      <c r="C251" s="21"/>
      <c r="D251" s="21"/>
      <c r="E251" s="21"/>
      <c r="F251" s="168">
        <v>1402232</v>
      </c>
      <c r="G251" s="168">
        <v>1924857</v>
      </c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168">
        <v>3100991</v>
      </c>
      <c r="BE251" s="168">
        <v>3527815</v>
      </c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168">
        <v>4074533</v>
      </c>
      <c r="EM251" s="168">
        <v>3788612</v>
      </c>
      <c r="EN251" s="21"/>
      <c r="EO251" s="21"/>
      <c r="EP251" s="168">
        <v>21394341</v>
      </c>
      <c r="EQ251" s="168">
        <v>21097015</v>
      </c>
      <c r="ER251" s="21"/>
      <c r="ES251" s="21"/>
      <c r="ET251" s="168">
        <v>25468874</v>
      </c>
      <c r="EU251" s="168">
        <v>24885627</v>
      </c>
      <c r="EV251" s="21"/>
      <c r="EW251" s="21"/>
      <c r="EX251" s="21"/>
      <c r="EY251" s="21"/>
      <c r="EZ251" s="21"/>
      <c r="FA251" s="21"/>
      <c r="FB251" s="21"/>
      <c r="FC251" s="21"/>
      <c r="FD251" s="21"/>
      <c r="FE251" s="21"/>
      <c r="FF251" s="168">
        <v>2084326</v>
      </c>
      <c r="FG251" s="168">
        <v>905915</v>
      </c>
      <c r="FH251" s="21"/>
      <c r="FI251" s="21"/>
      <c r="FJ251" s="21"/>
      <c r="FK251" s="21"/>
      <c r="FL251" s="21"/>
      <c r="FM251" s="21"/>
      <c r="FN251" s="21"/>
      <c r="FO251" s="21"/>
      <c r="FP251" s="21"/>
      <c r="FQ251" s="168">
        <v>239386</v>
      </c>
      <c r="FR251" s="168">
        <v>218599</v>
      </c>
      <c r="FS251" s="21"/>
      <c r="FT251" s="21"/>
      <c r="FU251" s="21"/>
      <c r="FV251" s="21"/>
      <c r="FW251" s="168">
        <v>-128659</v>
      </c>
      <c r="FX251" s="168">
        <v>-360450</v>
      </c>
      <c r="FY251" s="168">
        <v>15876</v>
      </c>
      <c r="FZ251" s="168">
        <v>22933</v>
      </c>
      <c r="GA251" s="21"/>
      <c r="GB251" s="21"/>
      <c r="GC251" s="21"/>
      <c r="GD251" s="21"/>
      <c r="GE251" s="21"/>
      <c r="GF251" s="21"/>
      <c r="GG251" s="21"/>
      <c r="GH251" s="21"/>
      <c r="GI251" s="21"/>
      <c r="GJ251" s="21"/>
      <c r="GK251" s="21"/>
      <c r="GL251" s="21"/>
      <c r="GM251" s="168">
        <v>-213861</v>
      </c>
      <c r="GN251" s="168">
        <v>905380</v>
      </c>
      <c r="GO251" s="21"/>
      <c r="GP251" s="21"/>
      <c r="GQ251" s="21"/>
      <c r="GR251" s="21"/>
      <c r="GS251" s="168">
        <v>-229737</v>
      </c>
      <c r="GT251" s="168">
        <v>882447</v>
      </c>
      <c r="GU251" s="21"/>
      <c r="GV251" s="21"/>
      <c r="GW251" s="21"/>
      <c r="GX251" s="21"/>
      <c r="GY251" s="21"/>
      <c r="GZ251" s="21"/>
      <c r="HA251" s="21"/>
      <c r="HB251" s="21"/>
      <c r="HC251" s="168">
        <v>-2036375</v>
      </c>
      <c r="HD251" s="168">
        <v>-2099769</v>
      </c>
      <c r="HE251" s="168">
        <v>-543</v>
      </c>
      <c r="HF251" s="168">
        <v>-5887</v>
      </c>
      <c r="HG251" s="21"/>
      <c r="HH251" s="21"/>
      <c r="HI251" s="168">
        <v>917610</v>
      </c>
      <c r="HJ251" s="168">
        <v>1105856</v>
      </c>
      <c r="HK251" s="21"/>
      <c r="HL251" s="21"/>
      <c r="HM251" s="21"/>
      <c r="HN251" s="21"/>
      <c r="HO251" s="21"/>
      <c r="HP251" s="21"/>
      <c r="HQ251" s="21"/>
      <c r="HR251" s="21"/>
      <c r="HS251" s="21"/>
      <c r="HT251" s="21"/>
      <c r="HU251" s="21"/>
      <c r="HV251" s="21"/>
      <c r="HW251" s="21"/>
      <c r="HX251" s="21"/>
      <c r="HY251" s="21"/>
      <c r="HZ251" s="21"/>
      <c r="IA251" s="21"/>
      <c r="IB251" s="21"/>
      <c r="IC251" s="21"/>
      <c r="ID251" s="21"/>
      <c r="IE251" s="168">
        <v>-234162</v>
      </c>
      <c r="IF251" s="168">
        <v>-288403</v>
      </c>
      <c r="IG251" s="21"/>
      <c r="IH251" s="21"/>
      <c r="II251" s="21"/>
      <c r="IJ251" s="21"/>
      <c r="IK251" s="21"/>
      <c r="IL251" s="21"/>
      <c r="IM251" s="21"/>
      <c r="IN251" s="21"/>
      <c r="IO251" s="21"/>
      <c r="IP251" s="21"/>
      <c r="IQ251" s="21"/>
      <c r="IR251" s="21"/>
      <c r="IS251" s="21"/>
      <c r="IT251" s="21"/>
      <c r="IU251" s="168">
        <v>-294089</v>
      </c>
      <c r="IV251" s="168">
        <v>1046626</v>
      </c>
      <c r="IW251" s="168">
        <v>5532</v>
      </c>
      <c r="IX251" s="168">
        <v>1172437</v>
      </c>
      <c r="IY251" s="168">
        <v>-299621</v>
      </c>
      <c r="IZ251" s="168">
        <v>-125811</v>
      </c>
      <c r="JA251" s="21"/>
      <c r="JB251" s="21"/>
      <c r="JC251" s="21"/>
      <c r="JD251" s="21"/>
      <c r="JE251" s="168">
        <v>-4635987</v>
      </c>
      <c r="JF251" s="168">
        <v>-3887883</v>
      </c>
      <c r="JG251" s="21"/>
      <c r="JH251" s="21"/>
      <c r="JI251" s="168">
        <v>-33230259</v>
      </c>
      <c r="JJ251" s="168">
        <v>-36874704</v>
      </c>
      <c r="JK251" s="168">
        <v>-352859</v>
      </c>
      <c r="JL251" s="168">
        <v>-295201</v>
      </c>
      <c r="JM251" s="168">
        <v>33235791</v>
      </c>
      <c r="JN251" s="168">
        <v>38047141</v>
      </c>
      <c r="JO251" s="168">
        <v>53238</v>
      </c>
      <c r="JP251" s="168">
        <v>169390</v>
      </c>
      <c r="JQ251" s="21"/>
      <c r="JR251" s="21"/>
      <c r="JS251" s="21"/>
      <c r="JT251" s="21"/>
      <c r="JU251" s="21"/>
      <c r="JV251" s="21"/>
      <c r="JW251" s="168">
        <v>32318181</v>
      </c>
      <c r="JX251" s="168">
        <v>36941285</v>
      </c>
      <c r="JY251" s="21"/>
      <c r="JZ251" s="21"/>
      <c r="KA251" s="21"/>
      <c r="KB251" s="21"/>
      <c r="KC251" s="21"/>
      <c r="KD251" s="21"/>
      <c r="KE251" s="21"/>
      <c r="KF251" s="21"/>
      <c r="KG251" s="21"/>
      <c r="KH251" s="21"/>
      <c r="KI251" s="21"/>
      <c r="KJ251" s="21"/>
      <c r="KK251" s="21"/>
      <c r="KL251" s="21"/>
      <c r="KM251" s="21"/>
      <c r="KN251" s="21"/>
      <c r="KO251" s="21"/>
      <c r="KP251" s="21"/>
      <c r="KQ251" s="168">
        <v>2306463</v>
      </c>
      <c r="KR251" s="168">
        <v>2019042</v>
      </c>
      <c r="KS251" s="21"/>
      <c r="KT251" s="21"/>
      <c r="KU251" s="21"/>
      <c r="KV251" s="21"/>
      <c r="KW251" s="21"/>
      <c r="KX251" s="21"/>
      <c r="KY251" s="21"/>
      <c r="KZ251" s="21"/>
      <c r="LA251" s="168">
        <v>417000</v>
      </c>
      <c r="LB251" s="168">
        <v>417000</v>
      </c>
      <c r="LC251" s="21"/>
      <c r="LD251" s="21"/>
      <c r="LE251" s="21"/>
      <c r="LF251" s="21"/>
      <c r="LG251" s="21"/>
      <c r="LH251" s="21"/>
      <c r="LI251" s="21"/>
      <c r="LJ251" s="21"/>
      <c r="LK251" s="168">
        <v>5975825</v>
      </c>
      <c r="LL251" s="168">
        <v>5869496</v>
      </c>
      <c r="LM251" s="21"/>
      <c r="LN251" s="21"/>
      <c r="LO251" s="21"/>
      <c r="LP251" s="21"/>
      <c r="LQ251" s="21"/>
      <c r="LR251" s="21"/>
      <c r="LS251" s="21"/>
      <c r="LT251" s="21"/>
      <c r="LU251" s="168">
        <v>1</v>
      </c>
      <c r="LV251" s="21"/>
      <c r="LW251" s="21"/>
      <c r="LX251" s="21"/>
      <c r="LY251" s="21"/>
      <c r="LZ251" s="21"/>
      <c r="MA251" s="21"/>
      <c r="MB251" s="21"/>
      <c r="MC251" s="168">
        <v>14261653</v>
      </c>
      <c r="MD251" s="168">
        <v>13371780</v>
      </c>
      <c r="ME251" s="21"/>
      <c r="MF251" s="21"/>
      <c r="MG251" s="21"/>
      <c r="MH251" s="21"/>
      <c r="MI251" s="21"/>
      <c r="MJ251" s="21"/>
      <c r="MK251" s="21"/>
      <c r="ML251" s="21"/>
      <c r="MM251" s="21"/>
      <c r="MN251" s="21"/>
      <c r="MO251" s="21"/>
      <c r="MP251" s="21"/>
      <c r="MQ251" s="21"/>
      <c r="MR251" s="21"/>
      <c r="MS251" s="21"/>
      <c r="MT251" s="21"/>
      <c r="MU251" s="21"/>
      <c r="MV251" s="21"/>
      <c r="MW251" s="168">
        <v>887893</v>
      </c>
      <c r="MX251" s="168">
        <v>5441</v>
      </c>
      <c r="MY251" s="21"/>
      <c r="MZ251" s="21"/>
      <c r="NA251" s="21"/>
      <c r="NB251" s="21"/>
      <c r="NC251" s="168">
        <v>-229737</v>
      </c>
      <c r="ND251" s="168">
        <v>882447</v>
      </c>
      <c r="NE251" s="21"/>
      <c r="NF251" s="21"/>
      <c r="NG251" s="168">
        <v>1075157</v>
      </c>
      <c r="NH251" s="168">
        <v>1304888</v>
      </c>
      <c r="NI251" s="21"/>
      <c r="NJ251" s="21"/>
      <c r="NK251" s="168">
        <v>162919</v>
      </c>
      <c r="NL251" s="168">
        <v>180288</v>
      </c>
      <c r="NM251" s="168">
        <v>23397133</v>
      </c>
      <c r="NN251" s="168">
        <v>22374900</v>
      </c>
      <c r="NO251" s="168">
        <v>25468874</v>
      </c>
      <c r="NP251" s="168">
        <v>24885627</v>
      </c>
      <c r="NQ251" s="168" t="s">
        <v>1462</v>
      </c>
      <c r="NR251" s="168" t="s">
        <v>797</v>
      </c>
      <c r="NS251" s="168" t="s">
        <v>770</v>
      </c>
      <c r="NT251" s="168" t="s">
        <v>771</v>
      </c>
      <c r="NU251" s="168">
        <v>5002</v>
      </c>
      <c r="NV251" s="168" t="s">
        <v>2104</v>
      </c>
      <c r="NW251" s="168" t="s">
        <v>28</v>
      </c>
      <c r="NX251" s="168" t="s">
        <v>25</v>
      </c>
      <c r="NY251" s="169">
        <v>42794</v>
      </c>
      <c r="NZ251" s="169">
        <v>42428</v>
      </c>
      <c r="OA251" s="169">
        <v>43048</v>
      </c>
      <c r="OB251" s="168" t="s">
        <v>1463</v>
      </c>
      <c r="OC251" s="168">
        <v>12</v>
      </c>
      <c r="OD251" s="168" t="s">
        <v>2105</v>
      </c>
      <c r="OE251" s="168" t="s">
        <v>2337</v>
      </c>
      <c r="OF251" s="168" t="s">
        <v>2560</v>
      </c>
      <c r="OG251" s="168" t="s">
        <v>2032</v>
      </c>
      <c r="OH251" s="168" t="s">
        <v>890</v>
      </c>
      <c r="OI251" s="168" t="s">
        <v>766</v>
      </c>
      <c r="OJ251" s="168" t="s">
        <v>3240</v>
      </c>
      <c r="OK251" s="168" t="s">
        <v>796</v>
      </c>
    </row>
    <row r="252" spans="1:401" x14ac:dyDescent="0.2">
      <c r="A252" s="170" t="str">
        <f>Liste[[#This Row],[Siren]]</f>
        <v>537902223</v>
      </c>
      <c r="B252" s="198" t="str">
        <f>Liste[[#This Row],[Dénomination]]&amp;" - comptes "&amp;YEAR(Liste[[#This Row],[Date de cloture de l''exercice]])</f>
        <v>ANTANNA - comptes 2017</v>
      </c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168">
        <v>12175</v>
      </c>
      <c r="BD252" s="168">
        <v>1219303</v>
      </c>
      <c r="BE252" s="168">
        <v>2178828</v>
      </c>
      <c r="BF252" s="168">
        <v>1231478</v>
      </c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168">
        <v>1989291</v>
      </c>
      <c r="BY252" s="168">
        <v>2962498</v>
      </c>
      <c r="BZ252" s="168">
        <v>1989291</v>
      </c>
      <c r="CA252" s="21"/>
      <c r="CB252" s="21"/>
      <c r="CC252" s="21"/>
      <c r="CD252" s="168">
        <v>2924271</v>
      </c>
      <c r="CE252" s="168">
        <v>4942887</v>
      </c>
      <c r="CF252" s="168">
        <v>5487490</v>
      </c>
      <c r="CG252" s="168">
        <v>7867158</v>
      </c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168">
        <v>22351521</v>
      </c>
      <c r="EL252" s="168">
        <v>46073022</v>
      </c>
      <c r="EM252" s="168">
        <v>47140947</v>
      </c>
      <c r="EN252" s="168">
        <v>68424544</v>
      </c>
      <c r="EO252" s="168">
        <v>13687</v>
      </c>
      <c r="EP252" s="168">
        <v>16288112</v>
      </c>
      <c r="EQ252" s="168">
        <v>17597416</v>
      </c>
      <c r="ER252" s="168">
        <v>16301798</v>
      </c>
      <c r="ES252" s="168">
        <v>22365208</v>
      </c>
      <c r="ET252" s="168">
        <v>62361134</v>
      </c>
      <c r="EU252" s="168">
        <v>64738363</v>
      </c>
      <c r="EV252" s="168">
        <v>84726342</v>
      </c>
      <c r="EW252" s="21"/>
      <c r="EX252" s="21"/>
      <c r="EY252" s="21"/>
      <c r="EZ252" s="21"/>
      <c r="FA252" s="21"/>
      <c r="FB252" s="21"/>
      <c r="FC252" s="21"/>
      <c r="FD252" s="21"/>
      <c r="FE252" s="21"/>
      <c r="FF252" s="168">
        <v>500000</v>
      </c>
      <c r="FG252" s="168">
        <v>500000</v>
      </c>
      <c r="FH252" s="168">
        <v>500000</v>
      </c>
      <c r="FI252" s="168">
        <v>-70602</v>
      </c>
      <c r="FJ252" s="168">
        <v>-156393</v>
      </c>
      <c r="FK252" s="21"/>
      <c r="FL252" s="21"/>
      <c r="FM252" s="21"/>
      <c r="FN252" s="21"/>
      <c r="FO252" s="21"/>
      <c r="FP252" s="21"/>
      <c r="FQ252" s="168">
        <v>-544603</v>
      </c>
      <c r="FR252" s="168">
        <v>-544603</v>
      </c>
      <c r="FS252" s="21"/>
      <c r="FT252" s="21"/>
      <c r="FU252" s="21"/>
      <c r="FV252" s="21"/>
      <c r="FW252" s="168">
        <v>-1132277</v>
      </c>
      <c r="FX252" s="168">
        <v>-1141325</v>
      </c>
      <c r="FY252" s="168">
        <v>19051</v>
      </c>
      <c r="FZ252" s="168">
        <v>21268</v>
      </c>
      <c r="GA252" s="21"/>
      <c r="GB252" s="21"/>
      <c r="GC252" s="21"/>
      <c r="GD252" s="21"/>
      <c r="GE252" s="21"/>
      <c r="GF252" s="21"/>
      <c r="GG252" s="21"/>
      <c r="GH252" s="21"/>
      <c r="GI252" s="21"/>
      <c r="GJ252" s="21"/>
      <c r="GK252" s="21"/>
      <c r="GL252" s="21"/>
      <c r="GM252" s="168">
        <v>2363887</v>
      </c>
      <c r="GN252" s="168">
        <v>2726569</v>
      </c>
      <c r="GO252" s="168">
        <v>2908490</v>
      </c>
      <c r="GP252" s="168">
        <v>3271172</v>
      </c>
      <c r="GQ252" s="21"/>
      <c r="GR252" s="21"/>
      <c r="GS252" s="168">
        <v>2344835</v>
      </c>
      <c r="GT252" s="168">
        <v>2705301</v>
      </c>
      <c r="GU252" s="168">
        <v>104225</v>
      </c>
      <c r="GV252" s="168">
        <v>267911</v>
      </c>
      <c r="GW252" s="168">
        <v>33622</v>
      </c>
      <c r="GX252" s="168">
        <v>111518</v>
      </c>
      <c r="GY252" s="21"/>
      <c r="GZ252" s="21"/>
      <c r="HA252" s="21"/>
      <c r="HB252" s="21"/>
      <c r="HC252" s="21"/>
      <c r="HD252" s="21"/>
      <c r="HE252" s="168">
        <v>16171667</v>
      </c>
      <c r="HF252" s="168">
        <v>6073372</v>
      </c>
      <c r="HG252" s="21"/>
      <c r="HH252" s="21"/>
      <c r="HI252" s="168">
        <v>316977</v>
      </c>
      <c r="HJ252" s="168">
        <v>504032</v>
      </c>
      <c r="HK252" s="21"/>
      <c r="HL252" s="21"/>
      <c r="HM252" s="21"/>
      <c r="HN252" s="21"/>
      <c r="HO252" s="21"/>
      <c r="HP252" s="21"/>
      <c r="HQ252" s="21"/>
      <c r="HR252" s="21"/>
      <c r="HS252" s="21"/>
      <c r="HT252" s="21"/>
      <c r="HU252" s="21"/>
      <c r="HV252" s="21"/>
      <c r="HW252" s="21"/>
      <c r="HX252" s="21"/>
      <c r="HY252" s="21"/>
      <c r="HZ252" s="21"/>
      <c r="IA252" s="21"/>
      <c r="IB252" s="21"/>
      <c r="IC252" s="21"/>
      <c r="ID252" s="21"/>
      <c r="IE252" s="168">
        <v>2243898</v>
      </c>
      <c r="IF252" s="168">
        <v>2135121</v>
      </c>
      <c r="IG252" s="21"/>
      <c r="IH252" s="21"/>
      <c r="II252" s="21"/>
      <c r="IJ252" s="21"/>
      <c r="IK252" s="21"/>
      <c r="IL252" s="21"/>
      <c r="IM252" s="21"/>
      <c r="IN252" s="21"/>
      <c r="IO252" s="21"/>
      <c r="IP252" s="21"/>
      <c r="IQ252" s="21"/>
      <c r="IR252" s="21"/>
      <c r="IS252" s="21"/>
      <c r="IT252" s="21"/>
      <c r="IU252" s="168">
        <v>4111369</v>
      </c>
      <c r="IV252" s="168">
        <v>4568890</v>
      </c>
      <c r="IW252" s="168">
        <v>4307919</v>
      </c>
      <c r="IX252" s="168">
        <v>4852125</v>
      </c>
      <c r="IY252" s="168">
        <v>-201978</v>
      </c>
      <c r="IZ252" s="168">
        <v>-289879</v>
      </c>
      <c r="JA252" s="21"/>
      <c r="JB252" s="21"/>
      <c r="JC252" s="21"/>
      <c r="JD252" s="21"/>
      <c r="JE252" s="168">
        <v>12723755</v>
      </c>
      <c r="JF252" s="168">
        <v>12493147</v>
      </c>
      <c r="JG252" s="21"/>
      <c r="JH252" s="21"/>
      <c r="JI252" s="168">
        <v>106914324</v>
      </c>
      <c r="JJ252" s="168">
        <v>108923429</v>
      </c>
      <c r="JK252" s="168">
        <v>240772</v>
      </c>
      <c r="JL252" s="168">
        <v>354686</v>
      </c>
      <c r="JM252" s="168">
        <v>111222244</v>
      </c>
      <c r="JN252" s="168">
        <v>113775554</v>
      </c>
      <c r="JO252" s="168">
        <v>38794</v>
      </c>
      <c r="JP252" s="168">
        <v>64806</v>
      </c>
      <c r="JQ252" s="21"/>
      <c r="JR252" s="21"/>
      <c r="JS252" s="21"/>
      <c r="JT252" s="21"/>
      <c r="JU252" s="21"/>
      <c r="JV252" s="21"/>
      <c r="JW252" s="168">
        <v>110905267</v>
      </c>
      <c r="JX252" s="168">
        <v>113271522</v>
      </c>
      <c r="JY252" s="21"/>
      <c r="JZ252" s="21"/>
      <c r="KA252" s="21"/>
      <c r="KB252" s="21"/>
      <c r="KC252" s="21"/>
      <c r="KD252" s="21"/>
      <c r="KE252" s="21"/>
      <c r="KF252" s="21"/>
      <c r="KG252" s="21"/>
      <c r="KH252" s="21"/>
      <c r="KI252" s="21"/>
      <c r="KJ252" s="21"/>
      <c r="KK252" s="21"/>
      <c r="KL252" s="21"/>
      <c r="KM252" s="21"/>
      <c r="KN252" s="21"/>
      <c r="KO252" s="21"/>
      <c r="KP252" s="21"/>
      <c r="KQ252" s="21"/>
      <c r="KR252" s="21"/>
      <c r="KS252" s="21"/>
      <c r="KT252" s="21"/>
      <c r="KU252" s="21"/>
      <c r="KV252" s="21"/>
      <c r="KW252" s="21"/>
      <c r="KX252" s="21"/>
      <c r="KY252" s="21"/>
      <c r="KZ252" s="21"/>
      <c r="LA252" s="168">
        <v>37000</v>
      </c>
      <c r="LB252" s="168">
        <v>37000</v>
      </c>
      <c r="LC252" s="21"/>
      <c r="LD252" s="21"/>
      <c r="LE252" s="21"/>
      <c r="LF252" s="21"/>
      <c r="LG252" s="21"/>
      <c r="LH252" s="21"/>
      <c r="LI252" s="21"/>
      <c r="LJ252" s="21"/>
      <c r="LK252" s="168">
        <v>7827684</v>
      </c>
      <c r="LL252" s="168">
        <v>8532658</v>
      </c>
      <c r="LM252" s="21"/>
      <c r="LN252" s="21"/>
      <c r="LO252" s="21"/>
      <c r="LP252" s="21"/>
      <c r="LQ252" s="21"/>
      <c r="LR252" s="21"/>
      <c r="LS252" s="21"/>
      <c r="LT252" s="21"/>
      <c r="LU252" s="21"/>
      <c r="LV252" s="21"/>
      <c r="LW252" s="21"/>
      <c r="LX252" s="21"/>
      <c r="LY252" s="21"/>
      <c r="LZ252" s="21"/>
      <c r="MA252" s="21"/>
      <c r="MB252" s="21"/>
      <c r="MC252" s="21"/>
      <c r="MD252" s="21"/>
      <c r="ME252" s="21"/>
      <c r="MF252" s="21"/>
      <c r="MG252" s="168">
        <v>69175</v>
      </c>
      <c r="MH252" s="168">
        <v>120494</v>
      </c>
      <c r="MI252" s="21"/>
      <c r="MJ252" s="21"/>
      <c r="MK252" s="21"/>
      <c r="ML252" s="21"/>
      <c r="MM252" s="21"/>
      <c r="MN252" s="21"/>
      <c r="MO252" s="21"/>
      <c r="MP252" s="21"/>
      <c r="MQ252" s="21"/>
      <c r="MR252" s="21"/>
      <c r="MS252" s="21"/>
      <c r="MT252" s="21"/>
      <c r="MU252" s="21"/>
      <c r="MV252" s="21"/>
      <c r="MW252" s="21"/>
      <c r="MX252" s="21"/>
      <c r="MY252" s="21"/>
      <c r="MZ252" s="21"/>
      <c r="NA252" s="21"/>
      <c r="NB252" s="21"/>
      <c r="NC252" s="168">
        <v>2344835</v>
      </c>
      <c r="ND252" s="168">
        <v>2705301</v>
      </c>
      <c r="NE252" s="21"/>
      <c r="NF252" s="21"/>
      <c r="NG252" s="168">
        <v>12156759</v>
      </c>
      <c r="NH252" s="168">
        <v>9782988</v>
      </c>
      <c r="NI252" s="21"/>
      <c r="NJ252" s="21"/>
      <c r="NK252" s="168">
        <v>60852</v>
      </c>
      <c r="NL252" s="168">
        <v>51074</v>
      </c>
      <c r="NM252" s="168">
        <v>50074348</v>
      </c>
      <c r="NN252" s="168">
        <v>54783808</v>
      </c>
      <c r="NO252" s="168">
        <v>62361134</v>
      </c>
      <c r="NP252" s="168">
        <v>64738363</v>
      </c>
      <c r="NQ252" s="168" t="s">
        <v>1453</v>
      </c>
      <c r="NR252" s="168" t="s">
        <v>797</v>
      </c>
      <c r="NS252" s="168" t="s">
        <v>770</v>
      </c>
      <c r="NT252" s="168" t="s">
        <v>771</v>
      </c>
      <c r="NU252" s="168">
        <v>7608</v>
      </c>
      <c r="NV252" s="168" t="s">
        <v>2104</v>
      </c>
      <c r="NW252" s="168" t="s">
        <v>28</v>
      </c>
      <c r="NX252" s="168" t="s">
        <v>25</v>
      </c>
      <c r="NY252" s="169">
        <v>42794</v>
      </c>
      <c r="NZ252" s="169">
        <v>42429</v>
      </c>
      <c r="OA252" s="169">
        <v>43080</v>
      </c>
      <c r="OB252" s="168" t="s">
        <v>1454</v>
      </c>
      <c r="OC252" s="168">
        <v>12</v>
      </c>
      <c r="OD252" s="168" t="s">
        <v>2105</v>
      </c>
      <c r="OE252" s="168" t="s">
        <v>2551</v>
      </c>
      <c r="OF252" s="168" t="s">
        <v>2552</v>
      </c>
      <c r="OG252" s="168" t="s">
        <v>2026</v>
      </c>
      <c r="OH252" s="168" t="s">
        <v>816</v>
      </c>
      <c r="OI252" s="168" t="s">
        <v>766</v>
      </c>
      <c r="OJ252" s="168" t="s">
        <v>3240</v>
      </c>
      <c r="OK252" s="168" t="s">
        <v>796</v>
      </c>
    </row>
    <row r="253" spans="1:401" x14ac:dyDescent="0.2">
      <c r="A253" s="170" t="str">
        <f>Liste[[#This Row],[Siren]]</f>
        <v>488341579</v>
      </c>
      <c r="B253" s="198" t="str">
        <f>Liste[[#This Row],[Dénomination]]&amp;" - comptes "&amp;YEAR(Liste[[#This Row],[Date de cloture de l''exercice]])</f>
        <v>LAUCLAND - comptes 2017</v>
      </c>
      <c r="C253" s="21"/>
      <c r="D253" s="21"/>
      <c r="E253" s="21"/>
      <c r="F253" s="168">
        <v>1441008</v>
      </c>
      <c r="G253" s="168">
        <v>1952368</v>
      </c>
      <c r="H253" s="168">
        <v>1441008</v>
      </c>
      <c r="I253" s="168">
        <v>411792</v>
      </c>
      <c r="J253" s="168">
        <v>469923</v>
      </c>
      <c r="K253" s="168">
        <v>323810</v>
      </c>
      <c r="L253" s="168">
        <v>881715</v>
      </c>
      <c r="M253" s="168">
        <v>1950</v>
      </c>
      <c r="N253" s="168">
        <v>292525</v>
      </c>
      <c r="O253" s="168">
        <v>333871</v>
      </c>
      <c r="P253" s="168">
        <v>294475</v>
      </c>
      <c r="Q253" s="21"/>
      <c r="R253" s="21"/>
      <c r="S253" s="168">
        <v>4420361</v>
      </c>
      <c r="T253" s="21"/>
      <c r="U253" s="21"/>
      <c r="V253" s="21"/>
      <c r="W253" s="21"/>
      <c r="X253" s="21"/>
      <c r="Y253" s="168">
        <v>900</v>
      </c>
      <c r="Z253" s="168">
        <v>94263</v>
      </c>
      <c r="AA253" s="168">
        <v>94263</v>
      </c>
      <c r="AB253" s="168">
        <v>95163</v>
      </c>
      <c r="AC253" s="21"/>
      <c r="AD253" s="21"/>
      <c r="AE253" s="21"/>
      <c r="AF253" s="21"/>
      <c r="AG253" s="21"/>
      <c r="AH253" s="21"/>
      <c r="AI253" s="21"/>
      <c r="AJ253" s="21"/>
      <c r="AK253" s="21"/>
      <c r="AL253" s="168">
        <v>2834</v>
      </c>
      <c r="AM253" s="168">
        <v>2347</v>
      </c>
      <c r="AN253" s="168">
        <v>2834</v>
      </c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168">
        <v>138757</v>
      </c>
      <c r="BA253" s="168">
        <v>224857</v>
      </c>
      <c r="BB253" s="168">
        <v>138757</v>
      </c>
      <c r="BC253" s="168">
        <v>13182</v>
      </c>
      <c r="BD253" s="168">
        <v>928338</v>
      </c>
      <c r="BE253" s="168">
        <v>422124</v>
      </c>
      <c r="BF253" s="168">
        <v>941520</v>
      </c>
      <c r="BG253" s="168">
        <v>203376</v>
      </c>
      <c r="BH253" s="168">
        <v>2009</v>
      </c>
      <c r="BI253" s="168">
        <v>7120</v>
      </c>
      <c r="BJ253" s="168">
        <v>205385</v>
      </c>
      <c r="BK253" s="168">
        <v>6833662</v>
      </c>
      <c r="BL253" s="168">
        <v>11905652</v>
      </c>
      <c r="BM253" s="168">
        <v>12145409</v>
      </c>
      <c r="BN253" s="168">
        <v>18739314</v>
      </c>
      <c r="BO253" s="21"/>
      <c r="BP253" s="168">
        <v>300471</v>
      </c>
      <c r="BQ253" s="21"/>
      <c r="BR253" s="168">
        <v>300471</v>
      </c>
      <c r="BS253" s="21"/>
      <c r="BT253" s="21"/>
      <c r="BU253" s="21"/>
      <c r="BV253" s="21"/>
      <c r="BW253" s="21"/>
      <c r="BX253" s="168">
        <v>295901</v>
      </c>
      <c r="BY253" s="168">
        <v>525478</v>
      </c>
      <c r="BZ253" s="168">
        <v>295901</v>
      </c>
      <c r="CA253" s="168">
        <v>6</v>
      </c>
      <c r="CB253" s="168">
        <v>1</v>
      </c>
      <c r="CC253" s="168">
        <v>6</v>
      </c>
      <c r="CD253" s="168">
        <v>105590</v>
      </c>
      <c r="CE253" s="168">
        <v>4552354</v>
      </c>
      <c r="CF253" s="168">
        <v>147832</v>
      </c>
      <c r="CG253" s="168">
        <v>4657944</v>
      </c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168">
        <v>382646</v>
      </c>
      <c r="DD253" s="168">
        <v>715731</v>
      </c>
      <c r="DE253" s="168">
        <v>382646</v>
      </c>
      <c r="DF253" s="168">
        <v>2923435</v>
      </c>
      <c r="DG253" s="168">
        <v>2922217</v>
      </c>
      <c r="DH253" s="168">
        <v>3349650</v>
      </c>
      <c r="DI253" s="168">
        <v>5845652</v>
      </c>
      <c r="DJ253" s="168">
        <v>180050</v>
      </c>
      <c r="DK253" s="168">
        <v>4786128</v>
      </c>
      <c r="DL253" s="168">
        <v>4682379</v>
      </c>
      <c r="DM253" s="168">
        <v>4966178</v>
      </c>
      <c r="DN253" s="21"/>
      <c r="DO253" s="21"/>
      <c r="DP253" s="21"/>
      <c r="DQ253" s="21"/>
      <c r="DR253" s="21"/>
      <c r="DS253" s="21"/>
      <c r="DT253" s="21"/>
      <c r="DU253" s="21"/>
      <c r="DV253" s="21"/>
      <c r="DW253" s="168">
        <v>24459</v>
      </c>
      <c r="DX253" s="168">
        <v>24459</v>
      </c>
      <c r="DY253" s="168">
        <v>24459</v>
      </c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168">
        <v>10941760</v>
      </c>
      <c r="EL253" s="168">
        <v>27838203</v>
      </c>
      <c r="EM253" s="168">
        <v>28439976</v>
      </c>
      <c r="EN253" s="168">
        <v>38779963</v>
      </c>
      <c r="EO253" s="168">
        <v>193232</v>
      </c>
      <c r="EP253" s="168">
        <v>7592966</v>
      </c>
      <c r="EQ253" s="168">
        <v>7809553</v>
      </c>
      <c r="ER253" s="168">
        <v>7786198</v>
      </c>
      <c r="ES253" s="168">
        <v>11134992</v>
      </c>
      <c r="ET253" s="168">
        <v>35431175</v>
      </c>
      <c r="EU253" s="168">
        <v>36249530</v>
      </c>
      <c r="EV253" s="168">
        <v>46566167</v>
      </c>
      <c r="EW253" s="168">
        <v>461055</v>
      </c>
      <c r="EX253" s="168">
        <v>5984050</v>
      </c>
      <c r="EY253" s="168">
        <v>6021972</v>
      </c>
      <c r="EZ253" s="168">
        <v>6445105</v>
      </c>
      <c r="FA253" s="21"/>
      <c r="FB253" s="21"/>
      <c r="FC253" s="21"/>
      <c r="FD253" s="21"/>
      <c r="FE253" s="21"/>
      <c r="FF253" s="21"/>
      <c r="FG253" s="21"/>
      <c r="FH253" s="21"/>
      <c r="FI253" s="168">
        <v>-62825</v>
      </c>
      <c r="FJ253" s="168">
        <v>-19541</v>
      </c>
      <c r="FK253" s="21"/>
      <c r="FL253" s="21"/>
      <c r="FM253" s="168">
        <v>9278</v>
      </c>
      <c r="FN253" s="168">
        <v>529</v>
      </c>
      <c r="FO253" s="21"/>
      <c r="FP253" s="168">
        <v>15765</v>
      </c>
      <c r="FQ253" s="168">
        <v>15839</v>
      </c>
      <c r="FR253" s="168">
        <v>15839</v>
      </c>
      <c r="FS253" s="168">
        <v>79557</v>
      </c>
      <c r="FT253" s="168">
        <v>32020</v>
      </c>
      <c r="FU253" s="168">
        <v>-52093</v>
      </c>
      <c r="FV253" s="168">
        <v>-48330</v>
      </c>
      <c r="FW253" s="168">
        <v>583619</v>
      </c>
      <c r="FX253" s="168">
        <v>253769</v>
      </c>
      <c r="FY253" s="168">
        <v>-6</v>
      </c>
      <c r="FZ253" s="168">
        <v>-20</v>
      </c>
      <c r="GA253" s="21"/>
      <c r="GB253" s="21"/>
      <c r="GC253" s="168">
        <v>11266</v>
      </c>
      <c r="GD253" s="21"/>
      <c r="GE253" s="168">
        <v>14744</v>
      </c>
      <c r="GF253" s="168">
        <v>28773</v>
      </c>
      <c r="GG253" s="21"/>
      <c r="GH253" s="21"/>
      <c r="GI253" s="21"/>
      <c r="GJ253" s="21"/>
      <c r="GK253" s="21"/>
      <c r="GL253" s="21"/>
      <c r="GM253" s="168">
        <v>1171939</v>
      </c>
      <c r="GN253" s="168">
        <v>1037543</v>
      </c>
      <c r="GO253" s="168">
        <v>1187778</v>
      </c>
      <c r="GP253" s="168">
        <v>1053383</v>
      </c>
      <c r="GQ253" s="21"/>
      <c r="GR253" s="21"/>
      <c r="GS253" s="168">
        <v>1171945</v>
      </c>
      <c r="GT253" s="168">
        <v>1037563</v>
      </c>
      <c r="GU253" s="168">
        <v>88835</v>
      </c>
      <c r="GV253" s="168">
        <v>48314</v>
      </c>
      <c r="GW253" s="168">
        <v>26010</v>
      </c>
      <c r="GX253" s="168">
        <v>28773</v>
      </c>
      <c r="GY253" s="168">
        <v>40314568</v>
      </c>
      <c r="GZ253" s="168">
        <v>39640061</v>
      </c>
      <c r="HA253" s="21"/>
      <c r="HB253" s="21"/>
      <c r="HC253" s="168">
        <v>3454945</v>
      </c>
      <c r="HD253" s="168">
        <v>2579141</v>
      </c>
      <c r="HE253" s="168">
        <v>18397</v>
      </c>
      <c r="HF253" s="168">
        <v>24374</v>
      </c>
      <c r="HG253" s="168">
        <v>38513</v>
      </c>
      <c r="HH253" s="168">
        <v>55753</v>
      </c>
      <c r="HI253" s="168">
        <v>54554</v>
      </c>
      <c r="HJ253" s="168">
        <v>19110</v>
      </c>
      <c r="HK253" s="21"/>
      <c r="HL253" s="21"/>
      <c r="HM253" s="21"/>
      <c r="HN253" s="21"/>
      <c r="HO253" s="168">
        <v>1110258</v>
      </c>
      <c r="HP253" s="168">
        <v>1207271</v>
      </c>
      <c r="HQ253" s="21"/>
      <c r="HR253" s="21"/>
      <c r="HS253" s="21"/>
      <c r="HT253" s="21"/>
      <c r="HU253" s="168">
        <v>1475955</v>
      </c>
      <c r="HV253" s="168">
        <v>1493704</v>
      </c>
      <c r="HW253" s="21"/>
      <c r="HX253" s="21"/>
      <c r="HY253" s="168">
        <v>15741</v>
      </c>
      <c r="HZ253" s="21"/>
      <c r="IA253" s="168">
        <v>193232</v>
      </c>
      <c r="IB253" s="168">
        <v>172064</v>
      </c>
      <c r="IC253" s="21"/>
      <c r="ID253" s="21"/>
      <c r="IE253" s="168">
        <v>755506</v>
      </c>
      <c r="IF253" s="168">
        <v>695521</v>
      </c>
      <c r="IG253" s="168">
        <v>518644</v>
      </c>
      <c r="IH253" s="168">
        <v>536530</v>
      </c>
      <c r="II253" s="21"/>
      <c r="IJ253" s="21"/>
      <c r="IK253" s="21"/>
      <c r="IL253" s="21"/>
      <c r="IM253" s="21"/>
      <c r="IN253" s="21"/>
      <c r="IO253" s="21"/>
      <c r="IP253" s="168">
        <v>1547</v>
      </c>
      <c r="IQ253" s="168">
        <v>-28097</v>
      </c>
      <c r="IR253" s="168">
        <v>-38334</v>
      </c>
      <c r="IS253" s="21"/>
      <c r="IT253" s="21"/>
      <c r="IU253" s="168">
        <v>1782129</v>
      </c>
      <c r="IV253" s="168">
        <v>1278363</v>
      </c>
      <c r="IW253" s="168">
        <v>2290357</v>
      </c>
      <c r="IX253" s="168">
        <v>1795927</v>
      </c>
      <c r="IY253" s="168">
        <v>-508228</v>
      </c>
      <c r="IZ253" s="168">
        <v>-517564</v>
      </c>
      <c r="JA253" s="168">
        <v>180567</v>
      </c>
      <c r="JB253" s="168">
        <v>262039</v>
      </c>
      <c r="JC253" s="21"/>
      <c r="JD253" s="21"/>
      <c r="JE253" s="168">
        <v>4116324</v>
      </c>
      <c r="JF253" s="168">
        <v>4067002</v>
      </c>
      <c r="JG253" s="168">
        <v>21582</v>
      </c>
      <c r="JH253" s="168">
        <v>4922</v>
      </c>
      <c r="JI253" s="168">
        <v>51331148</v>
      </c>
      <c r="JJ253" s="168">
        <v>49618819</v>
      </c>
      <c r="JK253" s="168">
        <v>518645</v>
      </c>
      <c r="JL253" s="168">
        <v>536532</v>
      </c>
      <c r="JM253" s="168">
        <v>53621505</v>
      </c>
      <c r="JN253" s="168">
        <v>51414746</v>
      </c>
      <c r="JO253" s="168">
        <v>10417</v>
      </c>
      <c r="JP253" s="168">
        <v>18968</v>
      </c>
      <c r="JQ253" s="168">
        <v>-123778</v>
      </c>
      <c r="JR253" s="168">
        <v>-260319</v>
      </c>
      <c r="JS253" s="21"/>
      <c r="JT253" s="21"/>
      <c r="JU253" s="21"/>
      <c r="JV253" s="168">
        <v>53364802</v>
      </c>
      <c r="JW253" s="168">
        <v>53364802</v>
      </c>
      <c r="JX253" s="168">
        <v>51128675</v>
      </c>
      <c r="JY253" s="21"/>
      <c r="JZ253" s="168">
        <v>8703319</v>
      </c>
      <c r="KA253" s="168">
        <v>8703319</v>
      </c>
      <c r="KB253" s="168">
        <v>8882992</v>
      </c>
      <c r="KC253" s="21"/>
      <c r="KD253" s="168">
        <v>1895207</v>
      </c>
      <c r="KE253" s="168">
        <v>1895207</v>
      </c>
      <c r="KF253" s="168">
        <v>967205</v>
      </c>
      <c r="KG253" s="21"/>
      <c r="KH253" s="168">
        <v>42766276</v>
      </c>
      <c r="KI253" s="168">
        <v>42766276</v>
      </c>
      <c r="KJ253" s="168">
        <v>41278478</v>
      </c>
      <c r="KK253" s="21"/>
      <c r="KL253" s="21"/>
      <c r="KM253" s="21"/>
      <c r="KN253" s="21"/>
      <c r="KO253" s="21"/>
      <c r="KP253" s="21"/>
      <c r="KQ253" s="168">
        <v>81681</v>
      </c>
      <c r="KR253" s="168">
        <v>91376</v>
      </c>
      <c r="KS253" s="21"/>
      <c r="KT253" s="21"/>
      <c r="KU253" s="168">
        <v>8468682</v>
      </c>
      <c r="KV253" s="168">
        <v>7512979</v>
      </c>
      <c r="KW253" s="21"/>
      <c r="KX253" s="21"/>
      <c r="KY253" s="168">
        <v>3580</v>
      </c>
      <c r="KZ253" s="21"/>
      <c r="LA253" s="168">
        <v>37000</v>
      </c>
      <c r="LB253" s="168">
        <v>37000</v>
      </c>
      <c r="LC253" s="21"/>
      <c r="LD253" s="21"/>
      <c r="LE253" s="168">
        <v>-6</v>
      </c>
      <c r="LF253" s="168">
        <v>-20</v>
      </c>
      <c r="LG253" s="21"/>
      <c r="LH253" s="21"/>
      <c r="LI253" s="168">
        <v>1720804</v>
      </c>
      <c r="LJ253" s="168">
        <v>1610272</v>
      </c>
      <c r="LK253" s="168">
        <v>3356618</v>
      </c>
      <c r="LL253" s="168">
        <v>3355676</v>
      </c>
      <c r="LM253" s="21"/>
      <c r="LN253" s="168">
        <v>2000</v>
      </c>
      <c r="LO253" s="21"/>
      <c r="LP253" s="21"/>
      <c r="LQ253" s="21"/>
      <c r="LR253" s="21"/>
      <c r="LS253" s="21"/>
      <c r="LT253" s="21"/>
      <c r="LU253" s="21"/>
      <c r="LV253" s="21"/>
      <c r="LW253" s="21"/>
      <c r="LX253" s="21"/>
      <c r="LY253" s="21"/>
      <c r="LZ253" s="21"/>
      <c r="MA253" s="168">
        <v>17767876</v>
      </c>
      <c r="MB253" s="168">
        <v>20311309</v>
      </c>
      <c r="MC253" s="168">
        <v>656759</v>
      </c>
      <c r="MD253" s="168">
        <v>616519</v>
      </c>
      <c r="ME253" s="21"/>
      <c r="MF253" s="21"/>
      <c r="MG253" s="168">
        <v>1116599</v>
      </c>
      <c r="MH253" s="168">
        <v>852459</v>
      </c>
      <c r="MI253" s="21"/>
      <c r="MJ253" s="21"/>
      <c r="MK253" s="21"/>
      <c r="ML253" s="21"/>
      <c r="MM253" s="168">
        <v>237899</v>
      </c>
      <c r="MN253" s="168">
        <v>80567</v>
      </c>
      <c r="MO253" s="168">
        <v>315188</v>
      </c>
      <c r="MP253" s="168">
        <v>219890</v>
      </c>
      <c r="MQ253" s="21"/>
      <c r="MR253" s="21"/>
      <c r="MS253" s="21"/>
      <c r="MT253" s="21"/>
      <c r="MU253" s="21"/>
      <c r="MV253" s="21"/>
      <c r="MW253" s="168">
        <v>3700</v>
      </c>
      <c r="MX253" s="168">
        <v>3700</v>
      </c>
      <c r="MY253" s="21"/>
      <c r="MZ253" s="21"/>
      <c r="NA253" s="21"/>
      <c r="NB253" s="21"/>
      <c r="NC253" s="168">
        <v>1171945</v>
      </c>
      <c r="ND253" s="168">
        <v>1037563</v>
      </c>
      <c r="NE253" s="168">
        <v>95106</v>
      </c>
      <c r="NF253" s="168">
        <v>104062</v>
      </c>
      <c r="NG253" s="168">
        <v>10174312</v>
      </c>
      <c r="NH253" s="168">
        <v>9109593</v>
      </c>
      <c r="NI253" s="21"/>
      <c r="NJ253" s="21"/>
      <c r="NK253" s="168">
        <v>-146</v>
      </c>
      <c r="NL253" s="168">
        <v>-134</v>
      </c>
      <c r="NM253" s="168">
        <v>23825217</v>
      </c>
      <c r="NN253" s="168">
        <v>26067719</v>
      </c>
      <c r="NO253" s="168">
        <v>35431175</v>
      </c>
      <c r="NP253" s="168">
        <v>36249530</v>
      </c>
      <c r="NQ253" s="168" t="s">
        <v>1497</v>
      </c>
      <c r="NR253" s="168" t="s">
        <v>804</v>
      </c>
      <c r="NS253" s="168" t="s">
        <v>770</v>
      </c>
      <c r="NT253" s="168" t="s">
        <v>771</v>
      </c>
      <c r="NU253" s="168">
        <v>4002</v>
      </c>
      <c r="NV253" s="168" t="s">
        <v>2104</v>
      </c>
      <c r="NW253" s="168" t="s">
        <v>28</v>
      </c>
      <c r="NX253" s="168" t="s">
        <v>25</v>
      </c>
      <c r="NY253" s="169">
        <v>42794</v>
      </c>
      <c r="NZ253" s="169">
        <v>42428</v>
      </c>
      <c r="OA253" s="169">
        <v>43104</v>
      </c>
      <c r="OB253" s="168" t="s">
        <v>3285</v>
      </c>
      <c r="OC253" s="168">
        <v>12</v>
      </c>
      <c r="OD253" s="168" t="s">
        <v>2105</v>
      </c>
      <c r="OE253" s="168" t="s">
        <v>2106</v>
      </c>
      <c r="OF253" s="168" t="s">
        <v>3286</v>
      </c>
      <c r="OG253" s="168" t="s">
        <v>3287</v>
      </c>
      <c r="OH253" s="168" t="s">
        <v>1044</v>
      </c>
      <c r="OI253" s="168" t="s">
        <v>766</v>
      </c>
      <c r="OJ253" s="168" t="s">
        <v>3240</v>
      </c>
      <c r="OK253" s="168" t="s">
        <v>803</v>
      </c>
    </row>
    <row r="254" spans="1:401" x14ac:dyDescent="0.2">
      <c r="A254" s="170" t="str">
        <f>Liste[[#This Row],[Siren]]</f>
        <v>399344522</v>
      </c>
      <c r="B254" s="198" t="str">
        <f>Liste[[#This Row],[Dénomination]]&amp;" - comptes "&amp;YEAR(Liste[[#This Row],[Date de cloture de l''exercice]])</f>
        <v>SABLE EXPANSION - comptes 2017</v>
      </c>
      <c r="C254" s="21"/>
      <c r="D254" s="21"/>
      <c r="E254" s="168">
        <v>9030</v>
      </c>
      <c r="F254" s="168">
        <v>1220891</v>
      </c>
      <c r="G254" s="168">
        <v>1048322</v>
      </c>
      <c r="H254" s="168">
        <v>1229922</v>
      </c>
      <c r="I254" s="168">
        <v>3361028</v>
      </c>
      <c r="J254" s="168">
        <v>290669</v>
      </c>
      <c r="K254" s="168">
        <v>370410</v>
      </c>
      <c r="L254" s="168">
        <v>3651697</v>
      </c>
      <c r="M254" s="21"/>
      <c r="N254" s="168">
        <v>162615</v>
      </c>
      <c r="O254" s="168">
        <v>140339</v>
      </c>
      <c r="P254" s="168">
        <v>162615</v>
      </c>
      <c r="Q254" s="21"/>
      <c r="R254" s="21"/>
      <c r="S254" s="21"/>
      <c r="T254" s="21"/>
      <c r="U254" s="21"/>
      <c r="V254" s="21"/>
      <c r="W254" s="21"/>
      <c r="X254" s="21"/>
      <c r="Y254" s="21"/>
      <c r="Z254" s="168">
        <v>3029645</v>
      </c>
      <c r="AA254" s="168">
        <v>2974198</v>
      </c>
      <c r="AB254" s="168">
        <v>3029645</v>
      </c>
      <c r="AC254" s="21"/>
      <c r="AD254" s="168">
        <v>23700</v>
      </c>
      <c r="AE254" s="21"/>
      <c r="AF254" s="168">
        <v>23700</v>
      </c>
      <c r="AG254" s="21"/>
      <c r="AH254" s="21"/>
      <c r="AI254" s="21"/>
      <c r="AJ254" s="21"/>
      <c r="AK254" s="21"/>
      <c r="AL254" s="168">
        <v>18305</v>
      </c>
      <c r="AM254" s="168">
        <v>1080</v>
      </c>
      <c r="AN254" s="168">
        <v>18305</v>
      </c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168">
        <v>222114</v>
      </c>
      <c r="BA254" s="168">
        <v>258556</v>
      </c>
      <c r="BB254" s="168">
        <v>222114</v>
      </c>
      <c r="BC254" s="168">
        <v>1984</v>
      </c>
      <c r="BD254" s="168">
        <v>339004</v>
      </c>
      <c r="BE254" s="168">
        <v>320040</v>
      </c>
      <c r="BF254" s="168">
        <v>340989</v>
      </c>
      <c r="BG254" s="168">
        <v>230590</v>
      </c>
      <c r="BH254" s="168">
        <v>187</v>
      </c>
      <c r="BI254" s="168">
        <v>5171</v>
      </c>
      <c r="BJ254" s="168">
        <v>230778</v>
      </c>
      <c r="BK254" s="168">
        <v>12147137</v>
      </c>
      <c r="BL254" s="168">
        <v>7588874</v>
      </c>
      <c r="BM254" s="168">
        <v>5826709</v>
      </c>
      <c r="BN254" s="168">
        <v>19736011</v>
      </c>
      <c r="BO254" s="21"/>
      <c r="BP254" s="168">
        <v>2124</v>
      </c>
      <c r="BQ254" s="168">
        <v>2349</v>
      </c>
      <c r="BR254" s="168">
        <v>2124</v>
      </c>
      <c r="BS254" s="21"/>
      <c r="BT254" s="21"/>
      <c r="BU254" s="21"/>
      <c r="BV254" s="21"/>
      <c r="BW254" s="21"/>
      <c r="BX254" s="168">
        <v>2845564</v>
      </c>
      <c r="BY254" s="168">
        <v>1400307</v>
      </c>
      <c r="BZ254" s="168">
        <v>2845564</v>
      </c>
      <c r="CA254" s="21"/>
      <c r="CB254" s="21"/>
      <c r="CC254" s="21"/>
      <c r="CD254" s="168">
        <v>2483021</v>
      </c>
      <c r="CE254" s="168">
        <v>275886</v>
      </c>
      <c r="CF254" s="168">
        <v>551777</v>
      </c>
      <c r="CG254" s="168">
        <v>2758908</v>
      </c>
      <c r="CH254" s="21"/>
      <c r="CI254" s="21"/>
      <c r="CJ254" s="21"/>
      <c r="CK254" s="21"/>
      <c r="CL254" s="21"/>
      <c r="CM254" s="21"/>
      <c r="CN254" s="21"/>
      <c r="CO254" s="21"/>
      <c r="CP254" s="21"/>
      <c r="CQ254" s="168">
        <v>4640000</v>
      </c>
      <c r="CR254" s="168">
        <v>4640000</v>
      </c>
      <c r="CS254" s="168">
        <v>4640000</v>
      </c>
      <c r="CT254" s="21"/>
      <c r="CU254" s="21"/>
      <c r="CV254" s="21"/>
      <c r="CW254" s="21"/>
      <c r="CX254" s="21"/>
      <c r="CY254" s="21"/>
      <c r="CZ254" s="21"/>
      <c r="DA254" s="21"/>
      <c r="DB254" s="21"/>
      <c r="DC254" s="168">
        <v>1544132</v>
      </c>
      <c r="DD254" s="168">
        <v>161362</v>
      </c>
      <c r="DE254" s="168">
        <v>1544132</v>
      </c>
      <c r="DF254" s="168">
        <v>4682421</v>
      </c>
      <c r="DG254" s="168">
        <v>1304509</v>
      </c>
      <c r="DH254" s="168">
        <v>1176797</v>
      </c>
      <c r="DI254" s="168">
        <v>5986931</v>
      </c>
      <c r="DJ254" s="21"/>
      <c r="DK254" s="168">
        <v>6185936</v>
      </c>
      <c r="DL254" s="168">
        <v>5468007</v>
      </c>
      <c r="DM254" s="168">
        <v>6185936</v>
      </c>
      <c r="DN254" s="21"/>
      <c r="DO254" s="168">
        <v>28471</v>
      </c>
      <c r="DP254" s="168">
        <v>23487</v>
      </c>
      <c r="DQ254" s="168">
        <v>28471</v>
      </c>
      <c r="DR254" s="21"/>
      <c r="DS254" s="21"/>
      <c r="DT254" s="21"/>
      <c r="DU254" s="21"/>
      <c r="DV254" s="21"/>
      <c r="DW254" s="168">
        <v>33161</v>
      </c>
      <c r="DX254" s="168">
        <v>45540</v>
      </c>
      <c r="DY254" s="168">
        <v>33161</v>
      </c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168">
        <v>23649179</v>
      </c>
      <c r="EL254" s="168">
        <v>27995418</v>
      </c>
      <c r="EM254" s="168">
        <v>24545711</v>
      </c>
      <c r="EN254" s="168">
        <v>51644597</v>
      </c>
      <c r="EO254" s="168">
        <v>11014</v>
      </c>
      <c r="EP254" s="168">
        <v>12009481</v>
      </c>
      <c r="EQ254" s="168">
        <v>9720257</v>
      </c>
      <c r="ER254" s="168">
        <v>12020495</v>
      </c>
      <c r="ES254" s="168">
        <v>23660193</v>
      </c>
      <c r="ET254" s="168">
        <v>40004899</v>
      </c>
      <c r="EU254" s="168">
        <v>34265969</v>
      </c>
      <c r="EV254" s="168">
        <v>63665093</v>
      </c>
      <c r="EW254" s="168">
        <v>744979</v>
      </c>
      <c r="EX254" s="168">
        <v>9099911</v>
      </c>
      <c r="EY254" s="168">
        <v>8651053</v>
      </c>
      <c r="EZ254" s="168">
        <v>9844891</v>
      </c>
      <c r="FA254" s="21"/>
      <c r="FB254" s="21"/>
      <c r="FC254" s="21"/>
      <c r="FD254" s="21"/>
      <c r="FE254" s="21"/>
      <c r="FF254" s="168">
        <v>9130</v>
      </c>
      <c r="FG254" s="168">
        <v>3130</v>
      </c>
      <c r="FH254" s="168">
        <v>9130</v>
      </c>
      <c r="FI254" s="168">
        <v>1245334</v>
      </c>
      <c r="FJ254" s="21"/>
      <c r="FK254" s="21"/>
      <c r="FL254" s="21"/>
      <c r="FM254" s="168">
        <v>92719</v>
      </c>
      <c r="FN254" s="168">
        <v>152</v>
      </c>
      <c r="FO254" s="168">
        <v>423968</v>
      </c>
      <c r="FP254" s="168">
        <v>1759</v>
      </c>
      <c r="FQ254" s="168">
        <v>275891</v>
      </c>
      <c r="FR254" s="168">
        <v>275891</v>
      </c>
      <c r="FS254" s="168">
        <v>3591</v>
      </c>
      <c r="FT254" s="21"/>
      <c r="FU254" s="168">
        <v>-15842</v>
      </c>
      <c r="FV254" s="168">
        <v>-55891</v>
      </c>
      <c r="FW254" s="168">
        <v>866367</v>
      </c>
      <c r="FX254" s="168">
        <v>352636</v>
      </c>
      <c r="FY254" s="168">
        <v>214</v>
      </c>
      <c r="FZ254" s="168">
        <v>124</v>
      </c>
      <c r="GA254" s="21"/>
      <c r="GB254" s="21"/>
      <c r="GC254" s="168">
        <v>52046</v>
      </c>
      <c r="GD254" s="21"/>
      <c r="GE254" s="168">
        <v>1621501</v>
      </c>
      <c r="GF254" s="168">
        <v>1500</v>
      </c>
      <c r="GG254" s="21"/>
      <c r="GH254" s="21"/>
      <c r="GI254" s="21"/>
      <c r="GJ254" s="21"/>
      <c r="GK254" s="168">
        <v>92066</v>
      </c>
      <c r="GL254" s="168">
        <v>410</v>
      </c>
      <c r="GM254" s="168">
        <v>1681780</v>
      </c>
      <c r="GN254" s="168">
        <v>612271</v>
      </c>
      <c r="GO254" s="168">
        <v>1957671</v>
      </c>
      <c r="GP254" s="168">
        <v>888163</v>
      </c>
      <c r="GQ254" s="21"/>
      <c r="GR254" s="21"/>
      <c r="GS254" s="168">
        <v>1681566</v>
      </c>
      <c r="GT254" s="168">
        <v>612147</v>
      </c>
      <c r="GU254" s="168">
        <v>520279</v>
      </c>
      <c r="GV254" s="168">
        <v>1911</v>
      </c>
      <c r="GW254" s="168">
        <v>1765613</v>
      </c>
      <c r="GX254" s="168">
        <v>1910</v>
      </c>
      <c r="GY254" s="168">
        <v>48175162</v>
      </c>
      <c r="GZ254" s="168">
        <v>46409000</v>
      </c>
      <c r="HA254" s="168">
        <v>145064</v>
      </c>
      <c r="HB254" s="168">
        <v>138589</v>
      </c>
      <c r="HC254" s="168">
        <v>4094578</v>
      </c>
      <c r="HD254" s="168">
        <v>4010777</v>
      </c>
      <c r="HE254" s="168">
        <v>12897</v>
      </c>
      <c r="HF254" s="168">
        <v>12569</v>
      </c>
      <c r="HG254" s="168">
        <v>2295</v>
      </c>
      <c r="HH254" s="168">
        <v>2288</v>
      </c>
      <c r="HI254" s="168">
        <v>662814</v>
      </c>
      <c r="HJ254" s="168">
        <v>523994</v>
      </c>
      <c r="HK254" s="21"/>
      <c r="HL254" s="21"/>
      <c r="HM254" s="21"/>
      <c r="HN254" s="168">
        <v>21</v>
      </c>
      <c r="HO254" s="168">
        <v>1629939</v>
      </c>
      <c r="HP254" s="168">
        <v>1533312</v>
      </c>
      <c r="HQ254" s="21"/>
      <c r="HR254" s="21"/>
      <c r="HS254" s="21"/>
      <c r="HT254" s="21"/>
      <c r="HU254" s="168">
        <v>1501229</v>
      </c>
      <c r="HV254" s="168">
        <v>1450645</v>
      </c>
      <c r="HW254" s="21"/>
      <c r="HX254" s="21"/>
      <c r="HY254" s="21"/>
      <c r="HZ254" s="168">
        <v>98045</v>
      </c>
      <c r="IA254" s="168">
        <v>10539</v>
      </c>
      <c r="IB254" s="168">
        <v>2465</v>
      </c>
      <c r="IC254" s="21"/>
      <c r="ID254" s="168">
        <v>17822</v>
      </c>
      <c r="IE254" s="168">
        <v>1050536</v>
      </c>
      <c r="IF254" s="168">
        <v>1055269</v>
      </c>
      <c r="IG254" s="168">
        <v>561244</v>
      </c>
      <c r="IH254" s="168">
        <v>666080</v>
      </c>
      <c r="II254" s="21"/>
      <c r="IJ254" s="21"/>
      <c r="IK254" s="21"/>
      <c r="IL254" s="21"/>
      <c r="IM254" s="21"/>
      <c r="IN254" s="21"/>
      <c r="IO254" s="168">
        <v>2927</v>
      </c>
      <c r="IP254" s="168">
        <v>1807</v>
      </c>
      <c r="IQ254" s="168">
        <v>-225</v>
      </c>
      <c r="IR254" s="168">
        <v>20474</v>
      </c>
      <c r="IS254" s="168">
        <v>-1</v>
      </c>
      <c r="IT254" s="168">
        <v>6086</v>
      </c>
      <c r="IU254" s="168">
        <v>1562862</v>
      </c>
      <c r="IV254" s="168">
        <v>1184908</v>
      </c>
      <c r="IW254" s="168">
        <v>2101287</v>
      </c>
      <c r="IX254" s="168">
        <v>1838174</v>
      </c>
      <c r="IY254" s="168">
        <v>-538424</v>
      </c>
      <c r="IZ254" s="168">
        <v>-653266</v>
      </c>
      <c r="JA254" s="168">
        <v>266090</v>
      </c>
      <c r="JB254" s="168">
        <v>254578</v>
      </c>
      <c r="JC254" s="168">
        <v>17822</v>
      </c>
      <c r="JD254" s="21"/>
      <c r="JE254" s="168">
        <v>5606628</v>
      </c>
      <c r="JF254" s="168">
        <v>5333018</v>
      </c>
      <c r="JG254" s="21"/>
      <c r="JH254" s="21"/>
      <c r="JI254" s="168">
        <v>61503664</v>
      </c>
      <c r="JJ254" s="168">
        <v>59684271</v>
      </c>
      <c r="JK254" s="168">
        <v>561244</v>
      </c>
      <c r="JL254" s="168">
        <v>683924</v>
      </c>
      <c r="JM254" s="168">
        <v>63604952</v>
      </c>
      <c r="JN254" s="168">
        <v>61522445</v>
      </c>
      <c r="JO254" s="168">
        <v>22819</v>
      </c>
      <c r="JP254" s="168">
        <v>30658</v>
      </c>
      <c r="JQ254" s="168">
        <v>-719420</v>
      </c>
      <c r="JR254" s="168">
        <v>-354973</v>
      </c>
      <c r="JS254" s="168">
        <v>-3492</v>
      </c>
      <c r="JT254" s="168">
        <v>-4448</v>
      </c>
      <c r="JU254" s="21"/>
      <c r="JV254" s="21"/>
      <c r="JW254" s="168">
        <v>62676046</v>
      </c>
      <c r="JX254" s="168">
        <v>60743872</v>
      </c>
      <c r="JY254" s="21"/>
      <c r="JZ254" s="21"/>
      <c r="KA254" s="168">
        <v>72253</v>
      </c>
      <c r="KB254" s="168">
        <v>55117</v>
      </c>
      <c r="KC254" s="21"/>
      <c r="KD254" s="21"/>
      <c r="KE254" s="168">
        <v>1147279</v>
      </c>
      <c r="KF254" s="168">
        <v>1145874</v>
      </c>
      <c r="KG254" s="21"/>
      <c r="KH254" s="21"/>
      <c r="KI254" s="168">
        <v>61456513</v>
      </c>
      <c r="KJ254" s="168">
        <v>59542879</v>
      </c>
      <c r="KK254" s="21"/>
      <c r="KL254" s="21"/>
      <c r="KM254" s="21"/>
      <c r="KN254" s="21"/>
      <c r="KO254" s="21"/>
      <c r="KP254" s="21"/>
      <c r="KQ254" s="168">
        <v>174764</v>
      </c>
      <c r="KR254" s="168">
        <v>154429</v>
      </c>
      <c r="KS254" s="21"/>
      <c r="KT254" s="21"/>
      <c r="KU254" s="21"/>
      <c r="KV254" s="21"/>
      <c r="KW254" s="21"/>
      <c r="KX254" s="21"/>
      <c r="KY254" s="21"/>
      <c r="KZ254" s="21"/>
      <c r="LA254" s="168">
        <v>43456</v>
      </c>
      <c r="LB254" s="168">
        <v>43456</v>
      </c>
      <c r="LC254" s="21"/>
      <c r="LD254" s="21"/>
      <c r="LE254" s="168">
        <v>214</v>
      </c>
      <c r="LF254" s="168">
        <v>124</v>
      </c>
      <c r="LG254" s="21"/>
      <c r="LH254" s="21"/>
      <c r="LI254" s="168">
        <v>3118987</v>
      </c>
      <c r="LJ254" s="168">
        <v>2632158</v>
      </c>
      <c r="LK254" s="168">
        <v>4629340</v>
      </c>
      <c r="LL254" s="168">
        <v>3905147</v>
      </c>
      <c r="LM254" s="21"/>
      <c r="LN254" s="21"/>
      <c r="LO254" s="21"/>
      <c r="LP254" s="21"/>
      <c r="LQ254" s="21"/>
      <c r="LR254" s="21"/>
      <c r="LS254" s="21"/>
      <c r="LT254" s="21"/>
      <c r="LU254" s="21"/>
      <c r="LV254" s="21"/>
      <c r="LW254" s="21"/>
      <c r="LX254" s="21"/>
      <c r="LY254" s="21"/>
      <c r="LZ254" s="21"/>
      <c r="MA254" s="168">
        <v>18190731</v>
      </c>
      <c r="MB254" s="168">
        <v>16530925</v>
      </c>
      <c r="MC254" s="168">
        <v>153326</v>
      </c>
      <c r="MD254" s="168">
        <v>159365</v>
      </c>
      <c r="ME254" s="21"/>
      <c r="MF254" s="21"/>
      <c r="MG254" s="21"/>
      <c r="MH254" s="21"/>
      <c r="MI254" s="168">
        <v>517104</v>
      </c>
      <c r="MJ254" s="168">
        <v>517104</v>
      </c>
      <c r="MK254" s="21"/>
      <c r="ML254" s="21"/>
      <c r="MM254" s="168">
        <v>64042</v>
      </c>
      <c r="MN254" s="168">
        <v>67538</v>
      </c>
      <c r="MO254" s="168">
        <v>341269</v>
      </c>
      <c r="MP254" s="168">
        <v>354045</v>
      </c>
      <c r="MQ254" s="21"/>
      <c r="MR254" s="168">
        <v>92066</v>
      </c>
      <c r="MS254" s="21"/>
      <c r="MT254" s="21"/>
      <c r="MU254" s="21"/>
      <c r="MV254" s="21"/>
      <c r="MW254" s="21"/>
      <c r="MX254" s="21"/>
      <c r="MY254" s="21"/>
      <c r="MZ254" s="21"/>
      <c r="NA254" s="21"/>
      <c r="NB254" s="21"/>
      <c r="NC254" s="168">
        <v>1681566</v>
      </c>
      <c r="ND254" s="168">
        <v>612147</v>
      </c>
      <c r="NE254" s="21"/>
      <c r="NF254" s="21"/>
      <c r="NG254" s="168">
        <v>11928026</v>
      </c>
      <c r="NH254" s="168">
        <v>10246396</v>
      </c>
      <c r="NI254" s="21"/>
      <c r="NJ254" s="21"/>
      <c r="NK254" s="168">
        <v>2316</v>
      </c>
      <c r="NL254" s="168">
        <v>2546</v>
      </c>
      <c r="NM254" s="168">
        <v>27733288</v>
      </c>
      <c r="NN254" s="168">
        <v>23570915</v>
      </c>
      <c r="NO254" s="168">
        <v>40004899</v>
      </c>
      <c r="NP254" s="168">
        <v>34265969</v>
      </c>
      <c r="NQ254" s="168" t="s">
        <v>1527</v>
      </c>
      <c r="NR254" s="168" t="s">
        <v>769</v>
      </c>
      <c r="NS254" s="168" t="s">
        <v>770</v>
      </c>
      <c r="NT254" s="168" t="s">
        <v>771</v>
      </c>
      <c r="NU254" s="168">
        <v>7202</v>
      </c>
      <c r="NV254" s="168" t="s">
        <v>2104</v>
      </c>
      <c r="NW254" s="168" t="s">
        <v>28</v>
      </c>
      <c r="NX254" s="168" t="s">
        <v>25</v>
      </c>
      <c r="NY254" s="169">
        <v>42794</v>
      </c>
      <c r="NZ254" s="169">
        <v>42429</v>
      </c>
      <c r="OA254" s="169">
        <v>43039</v>
      </c>
      <c r="OB254" s="168" t="s">
        <v>1528</v>
      </c>
      <c r="OC254" s="168">
        <v>12</v>
      </c>
      <c r="OD254" s="168" t="s">
        <v>2106</v>
      </c>
      <c r="OE254" s="168" t="s">
        <v>2490</v>
      </c>
      <c r="OF254" s="168" t="s">
        <v>2251</v>
      </c>
      <c r="OG254" s="168" t="s">
        <v>2068</v>
      </c>
      <c r="OH254" s="168" t="s">
        <v>1037</v>
      </c>
      <c r="OI254" s="168" t="s">
        <v>766</v>
      </c>
      <c r="OJ254" s="168" t="s">
        <v>3240</v>
      </c>
      <c r="OK254" s="168" t="s">
        <v>767</v>
      </c>
    </row>
    <row r="255" spans="1:401" x14ac:dyDescent="0.2">
      <c r="A255" s="170" t="str">
        <f>Liste[[#This Row],[Siren]]</f>
        <v>792077943</v>
      </c>
      <c r="B255" s="198" t="str">
        <f>Liste[[#This Row],[Dénomination]]&amp;" - comptes "&amp;YEAR(Liste[[#This Row],[Date de cloture de l''exercice]])</f>
        <v>LVMF LECOQ - comptes 2017</v>
      </c>
      <c r="C255" s="21"/>
      <c r="D255" s="21"/>
      <c r="E255" s="21"/>
      <c r="F255" s="168">
        <v>947160</v>
      </c>
      <c r="G255" s="168">
        <v>2049296</v>
      </c>
      <c r="H255" s="168">
        <v>947160</v>
      </c>
      <c r="I255" s="168">
        <v>2979281</v>
      </c>
      <c r="J255" s="168">
        <v>401715</v>
      </c>
      <c r="K255" s="168">
        <v>587711</v>
      </c>
      <c r="L255" s="168">
        <v>3380996</v>
      </c>
      <c r="M255" s="21"/>
      <c r="N255" s="168">
        <v>112886</v>
      </c>
      <c r="O255" s="168">
        <v>110081</v>
      </c>
      <c r="P255" s="168">
        <v>112886</v>
      </c>
      <c r="Q255" s="21"/>
      <c r="R255" s="21"/>
      <c r="S255" s="21"/>
      <c r="T255" s="21"/>
      <c r="U255" s="21"/>
      <c r="V255" s="21"/>
      <c r="W255" s="21"/>
      <c r="X255" s="21"/>
      <c r="Y255" s="21"/>
      <c r="Z255" s="168">
        <v>514804</v>
      </c>
      <c r="AA255" s="168">
        <v>514804</v>
      </c>
      <c r="AB255" s="168">
        <v>514804</v>
      </c>
      <c r="AC255" s="21"/>
      <c r="AD255" s="21"/>
      <c r="AE255" s="21"/>
      <c r="AF255" s="21"/>
      <c r="AG255" s="21"/>
      <c r="AH255" s="21"/>
      <c r="AI255" s="21"/>
      <c r="AJ255" s="21"/>
      <c r="AK255" s="21"/>
      <c r="AL255" s="168">
        <v>269200</v>
      </c>
      <c r="AM255" s="168">
        <v>879313</v>
      </c>
      <c r="AN255" s="168">
        <v>269200</v>
      </c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168">
        <v>345557</v>
      </c>
      <c r="BA255" s="168">
        <v>559390</v>
      </c>
      <c r="BB255" s="168">
        <v>345557</v>
      </c>
      <c r="BC255" s="168">
        <v>433651</v>
      </c>
      <c r="BD255" s="168">
        <v>8710495</v>
      </c>
      <c r="BE255" s="168">
        <v>11666584</v>
      </c>
      <c r="BF255" s="168">
        <v>9144146</v>
      </c>
      <c r="BG255" s="168">
        <v>183598</v>
      </c>
      <c r="BH255" s="168">
        <v>389</v>
      </c>
      <c r="BI255" s="168">
        <v>23769</v>
      </c>
      <c r="BJ255" s="168">
        <v>183987</v>
      </c>
      <c r="BK255" s="168">
        <v>2044931</v>
      </c>
      <c r="BL255" s="168">
        <v>1061342</v>
      </c>
      <c r="BM255" s="168">
        <v>1149419</v>
      </c>
      <c r="BN255" s="168">
        <v>3106273</v>
      </c>
      <c r="BO255" s="21"/>
      <c r="BP255" s="168">
        <v>3635</v>
      </c>
      <c r="BQ255" s="168">
        <v>10903</v>
      </c>
      <c r="BR255" s="168">
        <v>3635</v>
      </c>
      <c r="BS255" s="21"/>
      <c r="BT255" s="21"/>
      <c r="BU255" s="21"/>
      <c r="BV255" s="21"/>
      <c r="BW255" s="21"/>
      <c r="BX255" s="168">
        <v>168934</v>
      </c>
      <c r="BY255" s="168">
        <v>30082</v>
      </c>
      <c r="BZ255" s="168">
        <v>168934</v>
      </c>
      <c r="CA255" s="21"/>
      <c r="CB255" s="21"/>
      <c r="CC255" s="21"/>
      <c r="CD255" s="168">
        <v>28307</v>
      </c>
      <c r="CE255" s="21"/>
      <c r="CF255" s="21"/>
      <c r="CG255" s="168">
        <v>28307</v>
      </c>
      <c r="CH255" s="21"/>
      <c r="CI255" s="21"/>
      <c r="CJ255" s="21"/>
      <c r="CK255" s="21"/>
      <c r="CL255" s="21"/>
      <c r="CM255" s="168">
        <v>792710</v>
      </c>
      <c r="CN255" s="168">
        <v>1197959</v>
      </c>
      <c r="CO255" s="168">
        <v>792710</v>
      </c>
      <c r="CP255" s="168">
        <v>3049</v>
      </c>
      <c r="CQ255" s="168">
        <v>4216639</v>
      </c>
      <c r="CR255" s="168">
        <v>4216639</v>
      </c>
      <c r="CS255" s="168">
        <v>4219688</v>
      </c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168">
        <v>1444734</v>
      </c>
      <c r="DG255" s="168">
        <v>142140</v>
      </c>
      <c r="DH255" s="168">
        <v>182281</v>
      </c>
      <c r="DI255" s="168">
        <v>1586874</v>
      </c>
      <c r="DJ255" s="168">
        <v>4340477</v>
      </c>
      <c r="DK255" s="168">
        <v>21783060</v>
      </c>
      <c r="DL255" s="168">
        <v>21428402</v>
      </c>
      <c r="DM255" s="168">
        <v>26123537</v>
      </c>
      <c r="DN255" s="21"/>
      <c r="DO255" s="168">
        <v>58287</v>
      </c>
      <c r="DP255" s="168">
        <v>62937</v>
      </c>
      <c r="DQ255" s="168">
        <v>58287</v>
      </c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168">
        <v>6655593</v>
      </c>
      <c r="EL255" s="168">
        <v>6903628</v>
      </c>
      <c r="EM255" s="168">
        <v>7245685</v>
      </c>
      <c r="EN255" s="168">
        <v>13559221</v>
      </c>
      <c r="EO255" s="168">
        <v>4774128</v>
      </c>
      <c r="EP255" s="168">
        <v>33075403</v>
      </c>
      <c r="EQ255" s="168">
        <v>37873963</v>
      </c>
      <c r="ER255" s="168">
        <v>37849531</v>
      </c>
      <c r="ES255" s="168">
        <v>11458028</v>
      </c>
      <c r="ET255" s="168">
        <v>39979031</v>
      </c>
      <c r="EU255" s="168">
        <v>45119648</v>
      </c>
      <c r="EV255" s="168">
        <v>51437059</v>
      </c>
      <c r="EW255" s="21"/>
      <c r="EX255" s="168">
        <v>443966</v>
      </c>
      <c r="EY255" s="168">
        <v>443966</v>
      </c>
      <c r="EZ255" s="168">
        <v>443966</v>
      </c>
      <c r="FA255" s="21"/>
      <c r="FB255" s="21"/>
      <c r="FC255" s="21"/>
      <c r="FD255" s="21"/>
      <c r="FE255" s="21"/>
      <c r="FF255" s="21"/>
      <c r="FG255" s="21"/>
      <c r="FH255" s="21"/>
      <c r="FI255" s="168">
        <v>-65050</v>
      </c>
      <c r="FJ255" s="168">
        <v>-164313</v>
      </c>
      <c r="FK255" s="21"/>
      <c r="FL255" s="21"/>
      <c r="FM255" s="168">
        <v>162675</v>
      </c>
      <c r="FN255" s="168">
        <v>110029</v>
      </c>
      <c r="FO255" s="168">
        <v>9268</v>
      </c>
      <c r="FP255" s="168">
        <v>14990</v>
      </c>
      <c r="FQ255" s="168">
        <v>-1202868</v>
      </c>
      <c r="FR255" s="168">
        <v>-1202868</v>
      </c>
      <c r="FS255" s="168">
        <v>683483</v>
      </c>
      <c r="FT255" s="168">
        <v>710472</v>
      </c>
      <c r="FU255" s="168">
        <v>-541245</v>
      </c>
      <c r="FV255" s="168">
        <v>330824</v>
      </c>
      <c r="FW255" s="168">
        <v>-25960</v>
      </c>
      <c r="FX255" s="168">
        <v>-21133</v>
      </c>
      <c r="FY255" s="168">
        <v>-209093</v>
      </c>
      <c r="FZ255" s="168">
        <v>505067</v>
      </c>
      <c r="GA255" s="21"/>
      <c r="GB255" s="21"/>
      <c r="GC255" s="168">
        <v>61595</v>
      </c>
      <c r="GD255" s="168">
        <v>5581</v>
      </c>
      <c r="GE255" s="168">
        <v>18309</v>
      </c>
      <c r="GF255" s="168">
        <v>4957</v>
      </c>
      <c r="GG255" s="21"/>
      <c r="GH255" s="21"/>
      <c r="GI255" s="21"/>
      <c r="GJ255" s="21"/>
      <c r="GK255" s="168">
        <v>710472</v>
      </c>
      <c r="GL255" s="168">
        <v>660640</v>
      </c>
      <c r="GM255" s="168">
        <v>884342</v>
      </c>
      <c r="GN255" s="168">
        <v>1623017</v>
      </c>
      <c r="GO255" s="21"/>
      <c r="GP255" s="21"/>
      <c r="GQ255" s="21"/>
      <c r="GR255" s="21"/>
      <c r="GS255" s="21"/>
      <c r="GT255" s="21"/>
      <c r="GU255" s="168">
        <v>855426</v>
      </c>
      <c r="GV255" s="168">
        <v>835491</v>
      </c>
      <c r="GW255" s="168">
        <v>790376</v>
      </c>
      <c r="GX255" s="168">
        <v>671178</v>
      </c>
      <c r="GY255" s="168">
        <v>53325606</v>
      </c>
      <c r="GZ255" s="168">
        <v>74015597</v>
      </c>
      <c r="HA255" s="168">
        <v>501586</v>
      </c>
      <c r="HB255" s="168">
        <v>541872</v>
      </c>
      <c r="HC255" s="168">
        <v>3144100</v>
      </c>
      <c r="HD255" s="168">
        <v>3603384</v>
      </c>
      <c r="HE255" s="168">
        <v>82932</v>
      </c>
      <c r="HF255" s="168">
        <v>161703</v>
      </c>
      <c r="HG255" s="168">
        <v>129461</v>
      </c>
      <c r="HH255" s="168">
        <v>564831</v>
      </c>
      <c r="HI255" s="168">
        <v>28957</v>
      </c>
      <c r="HJ255" s="168">
        <v>58839</v>
      </c>
      <c r="HK255" s="21"/>
      <c r="HL255" s="21"/>
      <c r="HM255" s="21"/>
      <c r="HN255" s="21"/>
      <c r="HO255" s="168">
        <v>2545262</v>
      </c>
      <c r="HP255" s="168">
        <v>2809525</v>
      </c>
      <c r="HQ255" s="21"/>
      <c r="HR255" s="21"/>
      <c r="HS255" s="21"/>
      <c r="HT255" s="21"/>
      <c r="HU255" s="168">
        <v>507922</v>
      </c>
      <c r="HV255" s="168">
        <v>513825</v>
      </c>
      <c r="HW255" s="21"/>
      <c r="HX255" s="21"/>
      <c r="HY255" s="168">
        <v>693422</v>
      </c>
      <c r="HZ255" s="168">
        <v>1309510</v>
      </c>
      <c r="IA255" s="168">
        <v>4774128</v>
      </c>
      <c r="IB255" s="168">
        <v>5358555</v>
      </c>
      <c r="IC255" s="21"/>
      <c r="ID255" s="21"/>
      <c r="IE255" s="168">
        <v>465345</v>
      </c>
      <c r="IF255" s="168">
        <v>593928</v>
      </c>
      <c r="IG255" s="168">
        <v>489619</v>
      </c>
      <c r="IH255" s="168">
        <v>947862</v>
      </c>
      <c r="II255" s="21"/>
      <c r="IJ255" s="21"/>
      <c r="IK255" s="168">
        <v>40399</v>
      </c>
      <c r="IL255" s="168">
        <v>39632</v>
      </c>
      <c r="IM255" s="168">
        <v>-405248</v>
      </c>
      <c r="IN255" s="168">
        <v>445274</v>
      </c>
      <c r="IO255" s="168">
        <v>127</v>
      </c>
      <c r="IP255" s="168">
        <v>133</v>
      </c>
      <c r="IQ255" s="21"/>
      <c r="IR255" s="21"/>
      <c r="IS255" s="21"/>
      <c r="IT255" s="21"/>
      <c r="IU255" s="168">
        <v>-1029774</v>
      </c>
      <c r="IV255" s="168">
        <v>1399220</v>
      </c>
      <c r="IW255" s="168">
        <v>-669742</v>
      </c>
      <c r="IX255" s="168">
        <v>1782114</v>
      </c>
      <c r="IY255" s="168">
        <v>-360032</v>
      </c>
      <c r="IZ255" s="168">
        <v>-382894</v>
      </c>
      <c r="JA255" s="168">
        <v>7155342</v>
      </c>
      <c r="JB255" s="168">
        <v>6157829</v>
      </c>
      <c r="JC255" s="21"/>
      <c r="JD255" s="21"/>
      <c r="JE255" s="168">
        <v>7013265</v>
      </c>
      <c r="JF255" s="168">
        <v>7518219</v>
      </c>
      <c r="JG255" s="21"/>
      <c r="JH255" s="21"/>
      <c r="JI255" s="168">
        <v>73162236</v>
      </c>
      <c r="JJ255" s="168">
        <v>96630052</v>
      </c>
      <c r="JK255" s="168">
        <v>489620</v>
      </c>
      <c r="JL255" s="168">
        <v>947864</v>
      </c>
      <c r="JM255" s="168">
        <v>6819450</v>
      </c>
      <c r="JN255" s="168">
        <v>6701574</v>
      </c>
      <c r="JO255" s="168">
        <v>129588</v>
      </c>
      <c r="JP255" s="168">
        <v>564970</v>
      </c>
      <c r="JQ255" s="168">
        <v>112426</v>
      </c>
      <c r="JR255" s="168">
        <v>200570</v>
      </c>
      <c r="JS255" s="168">
        <v>-3758</v>
      </c>
      <c r="JT255" s="168">
        <v>3364</v>
      </c>
      <c r="JU255" s="21"/>
      <c r="JV255" s="21"/>
      <c r="JW255" s="168">
        <v>65673044</v>
      </c>
      <c r="JX255" s="168">
        <v>91710592</v>
      </c>
      <c r="JY255" s="21"/>
      <c r="JZ255" s="21"/>
      <c r="KA255" s="21"/>
      <c r="KB255" s="21"/>
      <c r="KC255" s="21"/>
      <c r="KD255" s="21"/>
      <c r="KE255" s="21"/>
      <c r="KF255" s="21"/>
      <c r="KG255" s="21"/>
      <c r="KH255" s="21"/>
      <c r="KI255" s="21"/>
      <c r="KJ255" s="21"/>
      <c r="KK255" s="21"/>
      <c r="KL255" s="21"/>
      <c r="KM255" s="21"/>
      <c r="KN255" s="21"/>
      <c r="KO255" s="21"/>
      <c r="KP255" s="21"/>
      <c r="KQ255" s="168">
        <v>549662</v>
      </c>
      <c r="KR255" s="168">
        <v>421459</v>
      </c>
      <c r="KS255" s="168">
        <v>638</v>
      </c>
      <c r="KT255" s="168">
        <v>638</v>
      </c>
      <c r="KU255" s="21"/>
      <c r="KV255" s="21"/>
      <c r="KW255" s="21"/>
      <c r="KX255" s="21"/>
      <c r="KY255" s="168">
        <v>981716</v>
      </c>
      <c r="KZ255" s="168">
        <v>1946858</v>
      </c>
      <c r="LA255" s="168">
        <v>911000</v>
      </c>
      <c r="LB255" s="168">
        <v>911000</v>
      </c>
      <c r="LC255" s="21"/>
      <c r="LD255" s="21"/>
      <c r="LE255" s="168">
        <v>-209093</v>
      </c>
      <c r="LF255" s="168">
        <v>505067</v>
      </c>
      <c r="LG255" s="21"/>
      <c r="LH255" s="21"/>
      <c r="LI255" s="168">
        <v>1851547</v>
      </c>
      <c r="LJ255" s="168">
        <v>1926966</v>
      </c>
      <c r="LK255" s="168">
        <v>8911120</v>
      </c>
      <c r="LL255" s="168">
        <v>9942165</v>
      </c>
      <c r="LM255" s="21"/>
      <c r="LN255" s="21"/>
      <c r="LO255" s="21"/>
      <c r="LP255" s="21"/>
      <c r="LQ255" s="21"/>
      <c r="LR255" s="21"/>
      <c r="LS255" s="21"/>
      <c r="LT255" s="21"/>
      <c r="LU255" s="21"/>
      <c r="LV255" s="21"/>
      <c r="LW255" s="21"/>
      <c r="LX255" s="21"/>
      <c r="LY255" s="21"/>
      <c r="LZ255" s="21"/>
      <c r="MA255" s="168">
        <v>7444878</v>
      </c>
      <c r="MB255" s="168">
        <v>8561642</v>
      </c>
      <c r="MC255" s="168">
        <v>2681859</v>
      </c>
      <c r="MD255" s="168">
        <v>2822145</v>
      </c>
      <c r="ME255" s="21"/>
      <c r="MF255" s="21"/>
      <c r="MG255" s="168">
        <v>432305</v>
      </c>
      <c r="MH255" s="168">
        <v>973550</v>
      </c>
      <c r="MI255" s="21"/>
      <c r="MJ255" s="21"/>
      <c r="MK255" s="21"/>
      <c r="ML255" s="21"/>
      <c r="MM255" s="168">
        <v>63837</v>
      </c>
      <c r="MN255" s="168">
        <v>32875</v>
      </c>
      <c r="MO255" s="168">
        <v>486485</v>
      </c>
      <c r="MP255" s="168">
        <v>609384</v>
      </c>
      <c r="MQ255" s="168">
        <v>1301764</v>
      </c>
      <c r="MR255" s="168">
        <v>1813526</v>
      </c>
      <c r="MS255" s="21"/>
      <c r="MT255" s="21"/>
      <c r="MU255" s="168">
        <v>-284794</v>
      </c>
      <c r="MV255" s="168">
        <v>-196105</v>
      </c>
      <c r="MW255" s="168">
        <v>2599989</v>
      </c>
      <c r="MX255" s="168">
        <v>888281</v>
      </c>
      <c r="MY255" s="21"/>
      <c r="MZ255" s="21"/>
      <c r="NA255" s="21"/>
      <c r="NB255" s="21"/>
      <c r="NC255" s="168">
        <v>884342</v>
      </c>
      <c r="ND255" s="168">
        <v>1623017</v>
      </c>
      <c r="NE255" s="21"/>
      <c r="NF255" s="21"/>
      <c r="NG255" s="168">
        <v>4110537</v>
      </c>
      <c r="NH255" s="168">
        <v>3226193</v>
      </c>
      <c r="NI255" s="21"/>
      <c r="NJ255" s="21"/>
      <c r="NK255" s="168">
        <v>8857185</v>
      </c>
      <c r="NL255" s="168">
        <v>9311284</v>
      </c>
      <c r="NM255" s="168">
        <v>22485257</v>
      </c>
      <c r="NN255" s="168">
        <v>25677345</v>
      </c>
      <c r="NO255" s="168">
        <v>39979031</v>
      </c>
      <c r="NP255" s="168">
        <v>45119648</v>
      </c>
      <c r="NQ255" s="168" t="s">
        <v>1372</v>
      </c>
      <c r="NR255" s="168" t="s">
        <v>802</v>
      </c>
      <c r="NS255" s="168" t="s">
        <v>770</v>
      </c>
      <c r="NT255" s="168" t="s">
        <v>771</v>
      </c>
      <c r="NU255" s="168">
        <v>2801</v>
      </c>
      <c r="NV255" s="168" t="s">
        <v>2104</v>
      </c>
      <c r="NW255" s="168" t="s">
        <v>28</v>
      </c>
      <c r="NX255" s="168" t="s">
        <v>25</v>
      </c>
      <c r="NY255" s="169">
        <v>42794</v>
      </c>
      <c r="NZ255" s="169">
        <v>42429</v>
      </c>
      <c r="OA255" s="169">
        <v>43004</v>
      </c>
      <c r="OB255" s="168" t="s">
        <v>1373</v>
      </c>
      <c r="OC255" s="168">
        <v>12</v>
      </c>
      <c r="OD255" s="168" t="s">
        <v>2105</v>
      </c>
      <c r="OE255" s="168" t="s">
        <v>1374</v>
      </c>
      <c r="OF255" s="168" t="s">
        <v>2501</v>
      </c>
      <c r="OG255" s="168" t="s">
        <v>1991</v>
      </c>
      <c r="OH255" s="168" t="s">
        <v>944</v>
      </c>
      <c r="OI255" s="168" t="s">
        <v>766</v>
      </c>
      <c r="OJ255" s="168" t="s">
        <v>3240</v>
      </c>
      <c r="OK255" s="168" t="s">
        <v>801</v>
      </c>
    </row>
    <row r="256" spans="1:401" x14ac:dyDescent="0.2">
      <c r="A256" s="170" t="str">
        <f>Liste[[#This Row],[Siren]]</f>
        <v>789759669</v>
      </c>
      <c r="B256" s="198" t="str">
        <f>Liste[[#This Row],[Dénomination]]&amp;" - comptes "&amp;YEAR(Liste[[#This Row],[Date de cloture de l''exercice]])</f>
        <v>HOLDING CME - comptes 2017</v>
      </c>
      <c r="C256" s="21"/>
      <c r="D256" s="21"/>
      <c r="E256" s="168">
        <v>5500</v>
      </c>
      <c r="F256" s="168">
        <v>5549179</v>
      </c>
      <c r="G256" s="168">
        <v>5492611</v>
      </c>
      <c r="H256" s="168">
        <v>5554679</v>
      </c>
      <c r="I256" s="168">
        <v>3073806</v>
      </c>
      <c r="J256" s="168">
        <v>1503264</v>
      </c>
      <c r="K256" s="168">
        <v>1412671</v>
      </c>
      <c r="L256" s="168">
        <v>4577070</v>
      </c>
      <c r="M256" s="21"/>
      <c r="N256" s="168">
        <v>61829</v>
      </c>
      <c r="O256" s="168">
        <v>76926</v>
      </c>
      <c r="P256" s="168">
        <v>61829</v>
      </c>
      <c r="Q256" s="21"/>
      <c r="R256" s="21"/>
      <c r="S256" s="21"/>
      <c r="T256" s="21"/>
      <c r="U256" s="21"/>
      <c r="V256" s="21"/>
      <c r="W256" s="21"/>
      <c r="X256" s="21"/>
      <c r="Y256" s="21"/>
      <c r="Z256" s="168">
        <v>2455887</v>
      </c>
      <c r="AA256" s="168">
        <v>2441352</v>
      </c>
      <c r="AB256" s="168">
        <v>2455887</v>
      </c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168">
        <v>225014</v>
      </c>
      <c r="BA256" s="168">
        <v>344887</v>
      </c>
      <c r="BB256" s="168">
        <v>225014</v>
      </c>
      <c r="BC256" s="168">
        <v>22693</v>
      </c>
      <c r="BD256" s="168">
        <v>152005</v>
      </c>
      <c r="BE256" s="168">
        <v>147152</v>
      </c>
      <c r="BF256" s="168">
        <v>174698</v>
      </c>
      <c r="BG256" s="168">
        <v>67978</v>
      </c>
      <c r="BH256" s="168">
        <v>14990</v>
      </c>
      <c r="BI256" s="168">
        <v>2816</v>
      </c>
      <c r="BJ256" s="168">
        <v>82968</v>
      </c>
      <c r="BK256" s="168">
        <v>8298035</v>
      </c>
      <c r="BL256" s="168">
        <v>13053027</v>
      </c>
      <c r="BM256" s="168">
        <v>13038293</v>
      </c>
      <c r="BN256" s="168">
        <v>21351062</v>
      </c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168">
        <v>6058871</v>
      </c>
      <c r="CE256" s="168">
        <v>15984454</v>
      </c>
      <c r="CF256" s="168">
        <v>6702136</v>
      </c>
      <c r="CG256" s="168">
        <v>22043325</v>
      </c>
      <c r="CH256" s="21"/>
      <c r="CI256" s="21"/>
      <c r="CJ256" s="21"/>
      <c r="CK256" s="21"/>
      <c r="CL256" s="21"/>
      <c r="CM256" s="21"/>
      <c r="CN256" s="21"/>
      <c r="CO256" s="21"/>
      <c r="CP256" s="21"/>
      <c r="CQ256" s="168">
        <v>414727</v>
      </c>
      <c r="CR256" s="168">
        <v>11136800</v>
      </c>
      <c r="CS256" s="168">
        <v>414727</v>
      </c>
      <c r="CT256" s="21"/>
      <c r="CU256" s="21"/>
      <c r="CV256" s="21"/>
      <c r="CW256" s="21"/>
      <c r="CX256" s="21"/>
      <c r="CY256" s="21"/>
      <c r="CZ256" s="21"/>
      <c r="DA256" s="21"/>
      <c r="DB256" s="21"/>
      <c r="DC256" s="168">
        <v>1263412</v>
      </c>
      <c r="DD256" s="168">
        <v>1334686</v>
      </c>
      <c r="DE256" s="168">
        <v>1263412</v>
      </c>
      <c r="DF256" s="168">
        <v>4183206</v>
      </c>
      <c r="DG256" s="168">
        <v>1497409</v>
      </c>
      <c r="DH256" s="168">
        <v>1695805</v>
      </c>
      <c r="DI256" s="168">
        <v>5680615</v>
      </c>
      <c r="DJ256" s="168">
        <v>495608</v>
      </c>
      <c r="DK256" s="168">
        <v>10385248</v>
      </c>
      <c r="DL256" s="168">
        <v>10522132</v>
      </c>
      <c r="DM256" s="168">
        <v>10880856</v>
      </c>
      <c r="DN256" s="21"/>
      <c r="DO256" s="168">
        <v>25497</v>
      </c>
      <c r="DP256" s="168">
        <v>22163</v>
      </c>
      <c r="DQ256" s="168">
        <v>25497</v>
      </c>
      <c r="DR256" s="21"/>
      <c r="DS256" s="21"/>
      <c r="DT256" s="21"/>
      <c r="DU256" s="21"/>
      <c r="DV256" s="21"/>
      <c r="DW256" s="168">
        <v>27783</v>
      </c>
      <c r="DX256" s="168">
        <v>42703</v>
      </c>
      <c r="DY256" s="168">
        <v>27783</v>
      </c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168">
        <v>21785767</v>
      </c>
      <c r="EL256" s="168">
        <v>48125634</v>
      </c>
      <c r="EM256" s="168">
        <v>49733040</v>
      </c>
      <c r="EN256" s="168">
        <v>69911401</v>
      </c>
      <c r="EO256" s="168">
        <v>523801</v>
      </c>
      <c r="EP256" s="168">
        <v>35270851</v>
      </c>
      <c r="EQ256" s="168">
        <v>32129519</v>
      </c>
      <c r="ER256" s="168">
        <v>35794652</v>
      </c>
      <c r="ES256" s="168">
        <v>22309568</v>
      </c>
      <c r="ET256" s="168">
        <v>83396488</v>
      </c>
      <c r="EU256" s="168">
        <v>81862557</v>
      </c>
      <c r="EV256" s="168">
        <v>105706056</v>
      </c>
      <c r="EW256" s="168">
        <v>103871</v>
      </c>
      <c r="EX256" s="168">
        <v>11848852</v>
      </c>
      <c r="EY256" s="168">
        <v>11848852</v>
      </c>
      <c r="EZ256" s="168">
        <v>11952723</v>
      </c>
      <c r="FA256" s="21"/>
      <c r="FB256" s="21"/>
      <c r="FC256" s="21"/>
      <c r="FD256" s="21"/>
      <c r="FE256" s="21"/>
      <c r="FF256" s="168">
        <v>2000000</v>
      </c>
      <c r="FG256" s="168">
        <v>2652372</v>
      </c>
      <c r="FH256" s="168">
        <v>2000000</v>
      </c>
      <c r="FI256" s="168">
        <v>-124067</v>
      </c>
      <c r="FJ256" s="168">
        <v>294107</v>
      </c>
      <c r="FK256" s="21"/>
      <c r="FL256" s="21"/>
      <c r="FM256" s="21"/>
      <c r="FN256" s="21"/>
      <c r="FO256" s="21"/>
      <c r="FP256" s="21"/>
      <c r="FQ256" s="168">
        <v>570482</v>
      </c>
      <c r="FR256" s="168">
        <v>577714</v>
      </c>
      <c r="FS256" s="21"/>
      <c r="FT256" s="21"/>
      <c r="FU256" s="168">
        <v>40481</v>
      </c>
      <c r="FV256" s="168">
        <v>-58324</v>
      </c>
      <c r="FW256" s="168">
        <v>2853535</v>
      </c>
      <c r="FX256" s="168">
        <v>3280496</v>
      </c>
      <c r="FY256" s="168">
        <v>369315</v>
      </c>
      <c r="FZ256" s="168">
        <v>358674</v>
      </c>
      <c r="GA256" s="21"/>
      <c r="GB256" s="21"/>
      <c r="GC256" s="21"/>
      <c r="GD256" s="21"/>
      <c r="GE256" s="21"/>
      <c r="GF256" s="21"/>
      <c r="GG256" s="21"/>
      <c r="GH256" s="21"/>
      <c r="GI256" s="21"/>
      <c r="GJ256" s="21"/>
      <c r="GK256" s="21"/>
      <c r="GL256" s="21"/>
      <c r="GM256" s="168">
        <v>6498899</v>
      </c>
      <c r="GN256" s="168">
        <v>7055240</v>
      </c>
      <c r="GO256" s="168">
        <v>7069381</v>
      </c>
      <c r="GP256" s="168">
        <v>7632954</v>
      </c>
      <c r="GQ256" s="21"/>
      <c r="GR256" s="21"/>
      <c r="GS256" s="168">
        <v>6129584</v>
      </c>
      <c r="GT256" s="168">
        <v>6696566</v>
      </c>
      <c r="GU256" s="168">
        <v>544165</v>
      </c>
      <c r="GV256" s="168">
        <v>779971</v>
      </c>
      <c r="GW256" s="168">
        <v>420098</v>
      </c>
      <c r="GX256" s="168">
        <v>1074078</v>
      </c>
      <c r="GY256" s="168">
        <v>121796884</v>
      </c>
      <c r="GZ256" s="168">
        <v>119541887</v>
      </c>
      <c r="HA256" s="21"/>
      <c r="HB256" s="21"/>
      <c r="HC256" s="168">
        <v>4640324</v>
      </c>
      <c r="HD256" s="168">
        <v>4022696</v>
      </c>
      <c r="HE256" s="21"/>
      <c r="HF256" s="21"/>
      <c r="HG256" s="21"/>
      <c r="HH256" s="21"/>
      <c r="HI256" s="168">
        <v>506416</v>
      </c>
      <c r="HJ256" s="168">
        <v>460331</v>
      </c>
      <c r="HK256" s="21"/>
      <c r="HL256" s="21"/>
      <c r="HM256" s="21"/>
      <c r="HN256" s="21"/>
      <c r="HO256" s="168">
        <v>3271430</v>
      </c>
      <c r="HP256" s="168">
        <v>3154962</v>
      </c>
      <c r="HQ256" s="21"/>
      <c r="HR256" s="21"/>
      <c r="HS256" s="21"/>
      <c r="HT256" s="21"/>
      <c r="HU256" s="168">
        <v>1439370</v>
      </c>
      <c r="HV256" s="168">
        <v>1374058</v>
      </c>
      <c r="HW256" s="168">
        <v>-58264</v>
      </c>
      <c r="HX256" s="168">
        <v>77375</v>
      </c>
      <c r="HY256" s="21"/>
      <c r="HZ256" s="21"/>
      <c r="IA256" s="21"/>
      <c r="IB256" s="21"/>
      <c r="IC256" s="21"/>
      <c r="ID256" s="21"/>
      <c r="IE256" s="168">
        <v>1895106</v>
      </c>
      <c r="IF256" s="168">
        <v>1838823</v>
      </c>
      <c r="IG256" s="21"/>
      <c r="IH256" s="21"/>
      <c r="II256" s="21"/>
      <c r="IJ256" s="21"/>
      <c r="IK256" s="21"/>
      <c r="IL256" s="21"/>
      <c r="IM256" s="21"/>
      <c r="IN256" s="21"/>
      <c r="IO256" s="21"/>
      <c r="IP256" s="21"/>
      <c r="IQ256" s="21"/>
      <c r="IR256" s="21"/>
      <c r="IS256" s="21"/>
      <c r="IT256" s="21"/>
      <c r="IU256" s="168">
        <v>10087464</v>
      </c>
      <c r="IV256" s="168">
        <v>10561019</v>
      </c>
      <c r="IW256" s="168">
        <v>9858980</v>
      </c>
      <c r="IX256" s="168">
        <v>10700016</v>
      </c>
      <c r="IY256" s="168">
        <v>228484</v>
      </c>
      <c r="IZ256" s="168">
        <v>-138997</v>
      </c>
      <c r="JA256" s="168">
        <v>-33655</v>
      </c>
      <c r="JB256" s="168">
        <v>-56208</v>
      </c>
      <c r="JC256" s="21"/>
      <c r="JD256" s="21"/>
      <c r="JE256" s="21"/>
      <c r="JF256" s="21"/>
      <c r="JG256" s="21"/>
      <c r="JH256" s="21"/>
      <c r="JI256" s="168">
        <v>25194319</v>
      </c>
      <c r="JJ256" s="168">
        <v>23933386</v>
      </c>
      <c r="JK256" s="168">
        <v>340605</v>
      </c>
      <c r="JL256" s="168">
        <v>615851</v>
      </c>
      <c r="JM256" s="168">
        <v>155427330</v>
      </c>
      <c r="JN256" s="168">
        <v>151433427</v>
      </c>
      <c r="JO256" s="168">
        <v>569089</v>
      </c>
      <c r="JP256" s="168">
        <v>476854</v>
      </c>
      <c r="JQ256" s="21"/>
      <c r="JR256" s="21"/>
      <c r="JS256" s="21"/>
      <c r="JT256" s="21"/>
      <c r="JU256" s="21"/>
      <c r="JV256" s="21"/>
      <c r="JW256" s="168">
        <v>154954569</v>
      </c>
      <c r="JX256" s="168">
        <v>151029304</v>
      </c>
      <c r="JY256" s="21"/>
      <c r="JZ256" s="21"/>
      <c r="KA256" s="21"/>
      <c r="KB256" s="21"/>
      <c r="KC256" s="21"/>
      <c r="KD256" s="21"/>
      <c r="KE256" s="21"/>
      <c r="KF256" s="21"/>
      <c r="KG256" s="21"/>
      <c r="KH256" s="21"/>
      <c r="KI256" s="168">
        <v>155717259</v>
      </c>
      <c r="KJ256" s="168">
        <v>151791876</v>
      </c>
      <c r="KK256" s="21"/>
      <c r="KL256" s="21"/>
      <c r="KM256" s="21"/>
      <c r="KN256" s="21"/>
      <c r="KO256" s="21"/>
      <c r="KP256" s="21"/>
      <c r="KQ256" s="168">
        <v>392224</v>
      </c>
      <c r="KR256" s="168">
        <v>336943</v>
      </c>
      <c r="KS256" s="21"/>
      <c r="KT256" s="21"/>
      <c r="KU256" s="168">
        <v>2364618</v>
      </c>
      <c r="KV256" s="168">
        <v>1554102</v>
      </c>
      <c r="KW256" s="21"/>
      <c r="KX256" s="21"/>
      <c r="KY256" s="21"/>
      <c r="KZ256" s="21"/>
      <c r="LA256" s="168">
        <v>12507000</v>
      </c>
      <c r="LB256" s="168">
        <v>12507000</v>
      </c>
      <c r="LC256" s="21"/>
      <c r="LD256" s="21"/>
      <c r="LE256" s="21"/>
      <c r="LF256" s="21"/>
      <c r="LG256" s="21"/>
      <c r="LH256" s="21"/>
      <c r="LI256" s="168">
        <v>5036527</v>
      </c>
      <c r="LJ256" s="168">
        <v>6245365</v>
      </c>
      <c r="LK256" s="168">
        <v>11878369</v>
      </c>
      <c r="LL256" s="168">
        <v>11223081</v>
      </c>
      <c r="LM256" s="168">
        <v>60814</v>
      </c>
      <c r="LN256" s="168">
        <v>81284</v>
      </c>
      <c r="LO256" s="21"/>
      <c r="LP256" s="21"/>
      <c r="LQ256" s="21"/>
      <c r="LR256" s="21"/>
      <c r="LS256" s="21"/>
      <c r="LT256" s="21"/>
      <c r="LU256" s="21"/>
      <c r="LV256" s="21"/>
      <c r="LW256" s="21"/>
      <c r="LX256" s="21"/>
      <c r="LY256" s="168">
        <v>66112</v>
      </c>
      <c r="LZ256" s="168">
        <v>103297</v>
      </c>
      <c r="MA256" s="168">
        <v>29339991</v>
      </c>
      <c r="MB256" s="168">
        <v>32066411</v>
      </c>
      <c r="MC256" s="168">
        <v>261240</v>
      </c>
      <c r="MD256" s="168">
        <v>279102</v>
      </c>
      <c r="ME256" s="21"/>
      <c r="MF256" s="21"/>
      <c r="MG256" s="168">
        <v>1215944</v>
      </c>
      <c r="MH256" s="168">
        <v>1230292</v>
      </c>
      <c r="MI256" s="21"/>
      <c r="MJ256" s="21"/>
      <c r="MK256" s="21"/>
      <c r="ML256" s="21"/>
      <c r="MM256" s="21"/>
      <c r="MN256" s="21"/>
      <c r="MO256" s="168">
        <v>403640</v>
      </c>
      <c r="MP256" s="168">
        <v>484597</v>
      </c>
      <c r="MQ256" s="168">
        <v>135681</v>
      </c>
      <c r="MR256" s="168">
        <v>364901</v>
      </c>
      <c r="MS256" s="21"/>
      <c r="MT256" s="21"/>
      <c r="MU256" s="21"/>
      <c r="MV256" s="21"/>
      <c r="MW256" s="168">
        <v>332066</v>
      </c>
      <c r="MX256" s="168">
        <v>263077</v>
      </c>
      <c r="MY256" s="21"/>
      <c r="MZ256" s="21"/>
      <c r="NA256" s="21"/>
      <c r="NB256" s="21"/>
      <c r="NC256" s="168">
        <v>6129584</v>
      </c>
      <c r="ND256" s="168">
        <v>6696566</v>
      </c>
      <c r="NE256" s="21"/>
      <c r="NF256" s="21"/>
      <c r="NG256" s="168">
        <v>31008082</v>
      </c>
      <c r="NH256" s="168">
        <v>25378775</v>
      </c>
      <c r="NI256" s="21"/>
      <c r="NJ256" s="21"/>
      <c r="NK256" s="168">
        <v>3597864</v>
      </c>
      <c r="NL256" s="168">
        <v>4068508</v>
      </c>
      <c r="NM256" s="168">
        <v>46969165</v>
      </c>
      <c r="NN256" s="168">
        <v>50232186</v>
      </c>
      <c r="NO256" s="168">
        <v>83396488</v>
      </c>
      <c r="NP256" s="168">
        <v>81862557</v>
      </c>
      <c r="NQ256" s="168" t="s">
        <v>1398</v>
      </c>
      <c r="NR256" s="168" t="s">
        <v>797</v>
      </c>
      <c r="NS256" s="168" t="s">
        <v>770</v>
      </c>
      <c r="NT256" s="168" t="s">
        <v>771</v>
      </c>
      <c r="NU256" s="168">
        <v>6901</v>
      </c>
      <c r="NV256" s="168" t="s">
        <v>2104</v>
      </c>
      <c r="NW256" s="168" t="s">
        <v>28</v>
      </c>
      <c r="NX256" s="168" t="s">
        <v>25</v>
      </c>
      <c r="NY256" s="169">
        <v>42794</v>
      </c>
      <c r="NZ256" s="169">
        <v>42429</v>
      </c>
      <c r="OA256" s="169">
        <v>43112</v>
      </c>
      <c r="OB256" s="168" t="s">
        <v>3343</v>
      </c>
      <c r="OC256" s="168">
        <v>12</v>
      </c>
      <c r="OD256" s="168" t="s">
        <v>2105</v>
      </c>
      <c r="OE256" s="168" t="s">
        <v>3344</v>
      </c>
      <c r="OF256" s="168" t="s">
        <v>3345</v>
      </c>
      <c r="OG256" s="168" t="s">
        <v>3346</v>
      </c>
      <c r="OH256" s="168" t="s">
        <v>819</v>
      </c>
      <c r="OI256" s="168" t="s">
        <v>766</v>
      </c>
      <c r="OJ256" s="168" t="s">
        <v>3240</v>
      </c>
      <c r="OK256" s="168" t="s">
        <v>796</v>
      </c>
    </row>
    <row r="257" spans="1:401" x14ac:dyDescent="0.2">
      <c r="A257" s="170" t="str">
        <f>Liste[[#This Row],[Siren]]</f>
        <v>489727297</v>
      </c>
      <c r="B257" s="198" t="str">
        <f>Liste[[#This Row],[Dénomination]]&amp;" - comptes "&amp;YEAR(Liste[[#This Row],[Date de cloture de l''exercice]])</f>
        <v>SOVAL - comptes 2017</v>
      </c>
      <c r="C257" s="21"/>
      <c r="D257" s="21"/>
      <c r="E257" s="21"/>
      <c r="F257" s="168">
        <v>685000</v>
      </c>
      <c r="G257" s="168">
        <v>702000</v>
      </c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168">
        <v>64000</v>
      </c>
      <c r="BA257" s="168">
        <v>43000</v>
      </c>
      <c r="BB257" s="21"/>
      <c r="BC257" s="21"/>
      <c r="BD257" s="168">
        <v>748000</v>
      </c>
      <c r="BE257" s="168">
        <v>224000</v>
      </c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168">
        <v>1679000</v>
      </c>
      <c r="BY257" s="168">
        <v>1652000</v>
      </c>
      <c r="BZ257" s="21"/>
      <c r="CA257" s="21"/>
      <c r="CB257" s="21"/>
      <c r="CC257" s="21"/>
      <c r="CD257" s="21"/>
      <c r="CE257" s="168">
        <v>147000</v>
      </c>
      <c r="CF257" s="168">
        <v>210000</v>
      </c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168">
        <v>4531000</v>
      </c>
      <c r="EM257" s="168">
        <v>5242000</v>
      </c>
      <c r="EN257" s="21"/>
      <c r="EO257" s="21"/>
      <c r="EP257" s="168">
        <v>6741000</v>
      </c>
      <c r="EQ257" s="168">
        <v>6765000</v>
      </c>
      <c r="ER257" s="21"/>
      <c r="ES257" s="21"/>
      <c r="ET257" s="168">
        <v>11273000</v>
      </c>
      <c r="EU257" s="168">
        <v>12007000</v>
      </c>
      <c r="EV257" s="21"/>
      <c r="EW257" s="21"/>
      <c r="EX257" s="21"/>
      <c r="EY257" s="21"/>
      <c r="EZ257" s="21"/>
      <c r="FA257" s="21"/>
      <c r="FB257" s="21"/>
      <c r="FC257" s="21"/>
      <c r="FD257" s="21"/>
      <c r="FE257" s="21"/>
      <c r="FF257" s="168">
        <v>650000</v>
      </c>
      <c r="FG257" s="168">
        <v>650000</v>
      </c>
      <c r="FH257" s="21"/>
      <c r="FI257" s="168">
        <v>-14000</v>
      </c>
      <c r="FJ257" s="168">
        <v>-37000</v>
      </c>
      <c r="FK257" s="21"/>
      <c r="FL257" s="21"/>
      <c r="FM257" s="21"/>
      <c r="FN257" s="21"/>
      <c r="FO257" s="21"/>
      <c r="FP257" s="21"/>
      <c r="FQ257" s="168">
        <v>-63000</v>
      </c>
      <c r="FR257" s="168">
        <v>-62000</v>
      </c>
      <c r="FS257" s="21"/>
      <c r="FT257" s="21"/>
      <c r="FU257" s="21"/>
      <c r="FV257" s="21"/>
      <c r="FW257" s="168">
        <v>192000</v>
      </c>
      <c r="FX257" s="168">
        <v>133000</v>
      </c>
      <c r="FY257" s="168">
        <v>11000</v>
      </c>
      <c r="FZ257" s="168">
        <v>-15000</v>
      </c>
      <c r="GA257" s="21"/>
      <c r="GB257" s="21"/>
      <c r="GC257" s="21"/>
      <c r="GD257" s="21"/>
      <c r="GE257" s="21"/>
      <c r="GF257" s="21"/>
      <c r="GG257" s="21"/>
      <c r="GH257" s="21"/>
      <c r="GI257" s="21"/>
      <c r="GJ257" s="21"/>
      <c r="GK257" s="21"/>
      <c r="GL257" s="21"/>
      <c r="GM257" s="168">
        <v>44000</v>
      </c>
      <c r="GN257" s="168">
        <v>-53000</v>
      </c>
      <c r="GO257" s="168">
        <v>107000</v>
      </c>
      <c r="GP257" s="168">
        <v>10000</v>
      </c>
      <c r="GQ257" s="21"/>
      <c r="GR257" s="21"/>
      <c r="GS257" s="168">
        <v>33000</v>
      </c>
      <c r="GT257" s="168">
        <v>-38000</v>
      </c>
      <c r="GU257" s="168">
        <v>-103000</v>
      </c>
      <c r="GV257" s="168">
        <v>-48000</v>
      </c>
      <c r="GW257" s="168">
        <v>89000</v>
      </c>
      <c r="GX257" s="168">
        <v>11000</v>
      </c>
      <c r="GY257" s="21"/>
      <c r="GZ257" s="21"/>
      <c r="HA257" s="21"/>
      <c r="HB257" s="21"/>
      <c r="HC257" s="168">
        <v>-2308000</v>
      </c>
      <c r="HD257" s="168">
        <v>-2322000</v>
      </c>
      <c r="HE257" s="168">
        <v>-54000</v>
      </c>
      <c r="HF257" s="168">
        <v>-40000</v>
      </c>
      <c r="HG257" s="21"/>
      <c r="HH257" s="21"/>
      <c r="HI257" s="168">
        <v>19000</v>
      </c>
      <c r="HJ257" s="168">
        <v>26000</v>
      </c>
      <c r="HK257" s="21"/>
      <c r="HL257" s="21"/>
      <c r="HM257" s="21"/>
      <c r="HN257" s="21"/>
      <c r="HO257" s="21"/>
      <c r="HP257" s="21"/>
      <c r="HQ257" s="21"/>
      <c r="HR257" s="21"/>
      <c r="HS257" s="21"/>
      <c r="HT257" s="21"/>
      <c r="HU257" s="168">
        <v>-798000</v>
      </c>
      <c r="HV257" s="168">
        <v>-869000</v>
      </c>
      <c r="HW257" s="21"/>
      <c r="HX257" s="21"/>
      <c r="HY257" s="21"/>
      <c r="HZ257" s="21"/>
      <c r="IA257" s="21"/>
      <c r="IB257" s="21"/>
      <c r="IC257" s="21"/>
      <c r="ID257" s="21"/>
      <c r="IE257" s="168">
        <v>-398000</v>
      </c>
      <c r="IF257" s="168">
        <v>-459000</v>
      </c>
      <c r="IG257" s="21"/>
      <c r="IH257" s="21"/>
      <c r="II257" s="21"/>
      <c r="IJ257" s="21"/>
      <c r="IK257" s="21"/>
      <c r="IL257" s="21"/>
      <c r="IM257" s="21"/>
      <c r="IN257" s="21"/>
      <c r="IO257" s="21"/>
      <c r="IP257" s="21"/>
      <c r="IQ257" s="21"/>
      <c r="IR257" s="21"/>
      <c r="IS257" s="21"/>
      <c r="IT257" s="21"/>
      <c r="IU257" s="168">
        <v>-71000</v>
      </c>
      <c r="IV257" s="168">
        <v>-87000</v>
      </c>
      <c r="IW257" s="168">
        <v>-49000</v>
      </c>
      <c r="IX257" s="168">
        <v>-75000</v>
      </c>
      <c r="IY257" s="168">
        <v>-22000</v>
      </c>
      <c r="IZ257" s="168">
        <v>-12000</v>
      </c>
      <c r="JA257" s="168">
        <v>77000</v>
      </c>
      <c r="JB257" s="168">
        <v>83000</v>
      </c>
      <c r="JC257" s="21"/>
      <c r="JD257" s="21"/>
      <c r="JE257" s="168">
        <v>-3594000</v>
      </c>
      <c r="JF257" s="168">
        <v>-3473000</v>
      </c>
      <c r="JG257" s="21"/>
      <c r="JH257" s="21"/>
      <c r="JI257" s="21"/>
      <c r="JJ257" s="21"/>
      <c r="JK257" s="168">
        <v>-32000</v>
      </c>
      <c r="JL257" s="168">
        <v>-34000</v>
      </c>
      <c r="JM257" s="21"/>
      <c r="JN257" s="21"/>
      <c r="JO257" s="168">
        <v>10000</v>
      </c>
      <c r="JP257" s="168">
        <v>23000</v>
      </c>
      <c r="JQ257" s="21"/>
      <c r="JR257" s="21"/>
      <c r="JS257" s="21"/>
      <c r="JT257" s="21"/>
      <c r="JU257" s="21"/>
      <c r="JV257" s="21"/>
      <c r="JW257" s="168">
        <v>34285000</v>
      </c>
      <c r="JX257" s="168">
        <v>33317000</v>
      </c>
      <c r="JY257" s="21"/>
      <c r="JZ257" s="21"/>
      <c r="KA257" s="21"/>
      <c r="KB257" s="21"/>
      <c r="KC257" s="21"/>
      <c r="KD257" s="21"/>
      <c r="KE257" s="21"/>
      <c r="KF257" s="21"/>
      <c r="KG257" s="21"/>
      <c r="KH257" s="21"/>
      <c r="KI257" s="21"/>
      <c r="KJ257" s="21"/>
      <c r="KK257" s="21"/>
      <c r="KL257" s="21"/>
      <c r="KM257" s="21"/>
      <c r="KN257" s="21"/>
      <c r="KO257" s="21"/>
      <c r="KP257" s="21"/>
      <c r="KQ257" s="168">
        <v>8000</v>
      </c>
      <c r="KR257" s="168">
        <v>6000</v>
      </c>
      <c r="KS257" s="21"/>
      <c r="KT257" s="21"/>
      <c r="KU257" s="21"/>
      <c r="KV257" s="21"/>
      <c r="KW257" s="21"/>
      <c r="KX257" s="21"/>
      <c r="KY257" s="21"/>
      <c r="KZ257" s="21"/>
      <c r="LA257" s="168">
        <v>3076000</v>
      </c>
      <c r="LB257" s="168">
        <v>3076000</v>
      </c>
      <c r="LC257" s="21"/>
      <c r="LD257" s="21"/>
      <c r="LE257" s="21"/>
      <c r="LF257" s="21"/>
      <c r="LG257" s="21"/>
      <c r="LH257" s="21"/>
      <c r="LI257" s="168">
        <v>806000</v>
      </c>
      <c r="LJ257" s="168">
        <v>905000</v>
      </c>
      <c r="LK257" s="168">
        <v>2297000</v>
      </c>
      <c r="LL257" s="168">
        <v>2594000</v>
      </c>
      <c r="LM257" s="21"/>
      <c r="LN257" s="21"/>
      <c r="LO257" s="21"/>
      <c r="LP257" s="21"/>
      <c r="LQ257" s="21"/>
      <c r="LR257" s="21"/>
      <c r="LS257" s="21"/>
      <c r="LT257" s="21"/>
      <c r="LU257" s="21"/>
      <c r="LV257" s="21"/>
      <c r="LW257" s="21"/>
      <c r="LX257" s="21"/>
      <c r="LY257" s="21"/>
      <c r="LZ257" s="21"/>
      <c r="MA257" s="168">
        <v>1852000</v>
      </c>
      <c r="MB257" s="168">
        <v>2251000</v>
      </c>
      <c r="MC257" s="21"/>
      <c r="MD257" s="21"/>
      <c r="ME257" s="21"/>
      <c r="MF257" s="21"/>
      <c r="MG257" s="21"/>
      <c r="MH257" s="21"/>
      <c r="MI257" s="21"/>
      <c r="MJ257" s="21"/>
      <c r="MK257" s="21"/>
      <c r="ML257" s="21"/>
      <c r="MM257" s="21"/>
      <c r="MN257" s="21"/>
      <c r="MO257" s="21"/>
      <c r="MP257" s="21"/>
      <c r="MQ257" s="21"/>
      <c r="MR257" s="21"/>
      <c r="MS257" s="21"/>
      <c r="MT257" s="21"/>
      <c r="MU257" s="21"/>
      <c r="MV257" s="21"/>
      <c r="MW257" s="21"/>
      <c r="MX257" s="21"/>
      <c r="MY257" s="21"/>
      <c r="MZ257" s="21"/>
      <c r="NA257" s="21"/>
      <c r="NB257" s="21"/>
      <c r="NC257" s="168">
        <v>33000</v>
      </c>
      <c r="ND257" s="168">
        <v>-38000</v>
      </c>
      <c r="NE257" s="21"/>
      <c r="NF257" s="21"/>
      <c r="NG257" s="168">
        <v>6090000</v>
      </c>
      <c r="NH257" s="168">
        <v>6046000</v>
      </c>
      <c r="NI257" s="21"/>
      <c r="NJ257" s="21"/>
      <c r="NK257" s="21"/>
      <c r="NL257" s="21"/>
      <c r="NM257" s="168">
        <v>4963000</v>
      </c>
      <c r="NN257" s="168">
        <v>5756000</v>
      </c>
      <c r="NO257" s="168">
        <v>11273000</v>
      </c>
      <c r="NP257" s="168">
        <v>12007000</v>
      </c>
      <c r="NQ257" s="168" t="s">
        <v>1396</v>
      </c>
      <c r="NR257" s="168" t="s">
        <v>769</v>
      </c>
      <c r="NS257" s="168" t="s">
        <v>770</v>
      </c>
      <c r="NT257" s="168" t="s">
        <v>771</v>
      </c>
      <c r="NU257" s="168">
        <v>5301</v>
      </c>
      <c r="NV257" s="168" t="s">
        <v>2104</v>
      </c>
      <c r="NW257" s="168" t="s">
        <v>28</v>
      </c>
      <c r="NX257" s="168" t="s">
        <v>25</v>
      </c>
      <c r="NY257" s="169">
        <v>42794</v>
      </c>
      <c r="NZ257" s="169">
        <v>42429</v>
      </c>
      <c r="OA257" s="169">
        <v>42971</v>
      </c>
      <c r="OB257" s="168" t="s">
        <v>1397</v>
      </c>
      <c r="OC257" s="168">
        <v>12</v>
      </c>
      <c r="OD257" s="168" t="s">
        <v>2105</v>
      </c>
      <c r="OE257" s="168" t="s">
        <v>2291</v>
      </c>
      <c r="OF257" s="168" t="s">
        <v>2513</v>
      </c>
      <c r="OG257" s="168" t="s">
        <v>2002</v>
      </c>
      <c r="OH257" s="168" t="s">
        <v>793</v>
      </c>
      <c r="OI257" s="168" t="s">
        <v>766</v>
      </c>
      <c r="OJ257" s="168" t="s">
        <v>3240</v>
      </c>
      <c r="OK257" s="168" t="s">
        <v>767</v>
      </c>
    </row>
    <row r="258" spans="1:401" x14ac:dyDescent="0.2">
      <c r="A258" s="170" t="str">
        <f>Liste[[#This Row],[Siren]]</f>
        <v>789896305</v>
      </c>
      <c r="B258" s="198" t="str">
        <f>Liste[[#This Row],[Dénomination]]&amp;" - comptes "&amp;YEAR(Liste[[#This Row],[Date de cloture de l''exercice]])</f>
        <v>JAXAL - comptes 2017</v>
      </c>
      <c r="C258" s="21"/>
      <c r="D258" s="21"/>
      <c r="E258" s="21"/>
      <c r="F258" s="168">
        <v>519771</v>
      </c>
      <c r="G258" s="168">
        <v>1611930</v>
      </c>
      <c r="H258" s="21"/>
      <c r="I258" s="21"/>
      <c r="J258" s="168">
        <v>91756</v>
      </c>
      <c r="K258" s="168">
        <v>80925</v>
      </c>
      <c r="L258" s="21"/>
      <c r="M258" s="21"/>
      <c r="N258" s="168">
        <v>272721</v>
      </c>
      <c r="O258" s="168">
        <v>284202</v>
      </c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168">
        <v>576</v>
      </c>
      <c r="AA258" s="168">
        <v>576</v>
      </c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168">
        <v>3600</v>
      </c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168">
        <v>939046</v>
      </c>
      <c r="BE258" s="168">
        <v>684791</v>
      </c>
      <c r="BF258" s="21"/>
      <c r="BG258" s="21"/>
      <c r="BH258" s="168">
        <v>110</v>
      </c>
      <c r="BI258" s="168">
        <v>57</v>
      </c>
      <c r="BJ258" s="21"/>
      <c r="BK258" s="21"/>
      <c r="BL258" s="168">
        <v>11727565</v>
      </c>
      <c r="BM258" s="168">
        <v>12634106</v>
      </c>
      <c r="BN258" s="21"/>
      <c r="BO258" s="21"/>
      <c r="BP258" s="168">
        <v>1044</v>
      </c>
      <c r="BQ258" s="168">
        <v>1044</v>
      </c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168">
        <v>3469363</v>
      </c>
      <c r="CF258" s="168">
        <v>3784759</v>
      </c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168">
        <v>8220273</v>
      </c>
      <c r="CR258" s="168">
        <v>8220273</v>
      </c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168">
        <v>229567</v>
      </c>
      <c r="DE258" s="21"/>
      <c r="DF258" s="21"/>
      <c r="DG258" s="168">
        <v>1799505</v>
      </c>
      <c r="DH258" s="168">
        <v>1669777</v>
      </c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168">
        <v>29407859</v>
      </c>
      <c r="EM258" s="168">
        <v>80719908</v>
      </c>
      <c r="EN258" s="21"/>
      <c r="EO258" s="21"/>
      <c r="EP258" s="168">
        <v>10365166</v>
      </c>
      <c r="EQ258" s="168">
        <v>7794851</v>
      </c>
      <c r="ER258" s="21"/>
      <c r="ES258" s="21"/>
      <c r="ET258" s="168">
        <v>39772525</v>
      </c>
      <c r="EU258" s="168">
        <v>38514759</v>
      </c>
      <c r="EV258" s="21"/>
      <c r="EW258" s="21"/>
      <c r="EX258" s="168">
        <v>3385000</v>
      </c>
      <c r="EY258" s="168">
        <v>3385000</v>
      </c>
      <c r="EZ258" s="21"/>
      <c r="FA258" s="21"/>
      <c r="FB258" s="21"/>
      <c r="FC258" s="21"/>
      <c r="FD258" s="21"/>
      <c r="FE258" s="21"/>
      <c r="FF258" s="21"/>
      <c r="FG258" s="21"/>
      <c r="FH258" s="21"/>
      <c r="FI258" s="168">
        <v>-651871</v>
      </c>
      <c r="FJ258" s="168">
        <v>-2470883</v>
      </c>
      <c r="FK258" s="21"/>
      <c r="FL258" s="21"/>
      <c r="FM258" s="168">
        <v>82429</v>
      </c>
      <c r="FN258" s="168">
        <v>595813</v>
      </c>
      <c r="FO258" s="168">
        <v>970127</v>
      </c>
      <c r="FP258" s="168">
        <v>538029</v>
      </c>
      <c r="FQ258" s="168">
        <v>-315396</v>
      </c>
      <c r="FR258" s="168">
        <v>-315396</v>
      </c>
      <c r="FS258" s="21"/>
      <c r="FT258" s="168">
        <v>1893579</v>
      </c>
      <c r="FU258" s="168">
        <v>35567</v>
      </c>
      <c r="FV258" s="168">
        <v>245277</v>
      </c>
      <c r="FW258" s="168">
        <v>-364933</v>
      </c>
      <c r="FX258" s="168">
        <v>3802</v>
      </c>
      <c r="FY258" s="168">
        <v>-5</v>
      </c>
      <c r="FZ258" s="168">
        <v>-144</v>
      </c>
      <c r="GA258" s="21"/>
      <c r="GB258" s="21"/>
      <c r="GC258" s="168">
        <v>218833</v>
      </c>
      <c r="GD258" s="168">
        <v>231035</v>
      </c>
      <c r="GE258" s="168">
        <v>181852</v>
      </c>
      <c r="GF258" s="168">
        <v>325503</v>
      </c>
      <c r="GG258" s="21"/>
      <c r="GH258" s="21"/>
      <c r="GI258" s="21"/>
      <c r="GJ258" s="21"/>
      <c r="GK258" s="21"/>
      <c r="GL258" s="21"/>
      <c r="GM258" s="168">
        <v>648294</v>
      </c>
      <c r="GN258" s="168">
        <v>-13295</v>
      </c>
      <c r="GO258" s="21"/>
      <c r="GP258" s="21"/>
      <c r="GQ258" s="21"/>
      <c r="GR258" s="21"/>
      <c r="GS258" s="21"/>
      <c r="GT258" s="21"/>
      <c r="GU258" s="168">
        <v>1052556</v>
      </c>
      <c r="GV258" s="168">
        <v>3027421</v>
      </c>
      <c r="GW258" s="168">
        <v>400685</v>
      </c>
      <c r="GX258" s="168">
        <v>556538</v>
      </c>
      <c r="GY258" s="168">
        <v>48169067</v>
      </c>
      <c r="GZ258" s="168">
        <v>47555625</v>
      </c>
      <c r="HA258" s="168">
        <v>79905</v>
      </c>
      <c r="HB258" s="168">
        <v>67377</v>
      </c>
      <c r="HC258" s="168">
        <v>5052836</v>
      </c>
      <c r="HD258" s="168">
        <v>5197710</v>
      </c>
      <c r="HE258" s="168">
        <v>3348</v>
      </c>
      <c r="HF258" s="168">
        <v>79029</v>
      </c>
      <c r="HG258" s="168">
        <v>11368</v>
      </c>
      <c r="HH258" s="168">
        <v>12605</v>
      </c>
      <c r="HI258" s="168">
        <v>10257</v>
      </c>
      <c r="HJ258" s="168">
        <v>42924</v>
      </c>
      <c r="HK258" s="21"/>
      <c r="HL258" s="21"/>
      <c r="HM258" s="21"/>
      <c r="HN258" s="21"/>
      <c r="HO258" s="21"/>
      <c r="HP258" s="21"/>
      <c r="HQ258" s="21"/>
      <c r="HR258" s="21"/>
      <c r="HS258" s="21"/>
      <c r="HT258" s="21"/>
      <c r="HU258" s="168">
        <v>1640993</v>
      </c>
      <c r="HV258" s="168">
        <v>1574190</v>
      </c>
      <c r="HW258" s="21"/>
      <c r="HX258" s="21"/>
      <c r="HY258" s="21"/>
      <c r="HZ258" s="21"/>
      <c r="IA258" s="168">
        <v>117282</v>
      </c>
      <c r="IB258" s="168">
        <v>122677</v>
      </c>
      <c r="IC258" s="21"/>
      <c r="ID258" s="21"/>
      <c r="IE258" s="168">
        <v>953216</v>
      </c>
      <c r="IF258" s="168">
        <v>1009421</v>
      </c>
      <c r="IG258" s="168">
        <v>768688</v>
      </c>
      <c r="IH258" s="168">
        <v>832092</v>
      </c>
      <c r="II258" s="21"/>
      <c r="IJ258" s="21"/>
      <c r="IK258" s="21"/>
      <c r="IL258" s="21"/>
      <c r="IM258" s="21"/>
      <c r="IN258" s="21"/>
      <c r="IO258" s="21"/>
      <c r="IP258" s="21"/>
      <c r="IQ258" s="21"/>
      <c r="IR258" s="21"/>
      <c r="IS258" s="21"/>
      <c r="IT258" s="21"/>
      <c r="IU258" s="168">
        <v>1944922</v>
      </c>
      <c r="IV258" s="168">
        <v>2523761</v>
      </c>
      <c r="IW258" s="168">
        <v>2702242</v>
      </c>
      <c r="IX258" s="168">
        <v>3343248</v>
      </c>
      <c r="IY258" s="168">
        <v>-757320</v>
      </c>
      <c r="IZ258" s="168">
        <v>-819487</v>
      </c>
      <c r="JA258" s="168">
        <v>389206</v>
      </c>
      <c r="JB258" s="168">
        <v>889983</v>
      </c>
      <c r="JC258" s="21"/>
      <c r="JD258" s="21"/>
      <c r="JE258" s="21"/>
      <c r="JF258" s="21"/>
      <c r="JG258" s="168">
        <v>88201</v>
      </c>
      <c r="JH258" s="168">
        <v>59623</v>
      </c>
      <c r="JI258" s="168">
        <v>60657902</v>
      </c>
      <c r="JJ258" s="168">
        <v>60569456</v>
      </c>
      <c r="JK258" s="168">
        <v>768688</v>
      </c>
      <c r="JL258" s="168">
        <v>832092</v>
      </c>
      <c r="JM258" s="168">
        <v>63360144</v>
      </c>
      <c r="JN258" s="168">
        <v>63912704</v>
      </c>
      <c r="JO258" s="168">
        <v>11368</v>
      </c>
      <c r="JP258" s="168">
        <v>12605</v>
      </c>
      <c r="JQ258" s="168">
        <v>474779</v>
      </c>
      <c r="JR258" s="168">
        <v>12879</v>
      </c>
      <c r="JS258" s="168">
        <v>-6632</v>
      </c>
      <c r="JT258" s="168">
        <v>4296</v>
      </c>
      <c r="JU258" s="21"/>
      <c r="JV258" s="21"/>
      <c r="JW258" s="168">
        <v>62872480</v>
      </c>
      <c r="JX258" s="168">
        <v>62920174</v>
      </c>
      <c r="JY258" s="21"/>
      <c r="JZ258" s="21"/>
      <c r="KA258" s="21"/>
      <c r="KB258" s="21"/>
      <c r="KC258" s="21"/>
      <c r="KD258" s="21"/>
      <c r="KE258" s="168">
        <v>1289449</v>
      </c>
      <c r="KF258" s="168">
        <v>1407698</v>
      </c>
      <c r="KG258" s="21"/>
      <c r="KH258" s="21"/>
      <c r="KI258" s="168">
        <v>61583031</v>
      </c>
      <c r="KJ258" s="168">
        <v>61512476</v>
      </c>
      <c r="KK258" s="21"/>
      <c r="KL258" s="21"/>
      <c r="KM258" s="21"/>
      <c r="KN258" s="21"/>
      <c r="KO258" s="21"/>
      <c r="KP258" s="21"/>
      <c r="KQ258" s="168">
        <v>103442</v>
      </c>
      <c r="KR258" s="168">
        <v>72425</v>
      </c>
      <c r="KS258" s="21"/>
      <c r="KT258" s="21"/>
      <c r="KU258" s="168">
        <v>5816847</v>
      </c>
      <c r="KV258" s="168">
        <v>4614798</v>
      </c>
      <c r="KW258" s="21"/>
      <c r="KX258" s="21"/>
      <c r="KY258" s="21"/>
      <c r="KZ258" s="21"/>
      <c r="LA258" s="168">
        <v>125000</v>
      </c>
      <c r="LB258" s="168">
        <v>125000</v>
      </c>
      <c r="LC258" s="21"/>
      <c r="LD258" s="21"/>
      <c r="LE258" s="21"/>
      <c r="LF258" s="21"/>
      <c r="LG258" s="21"/>
      <c r="LH258" s="21"/>
      <c r="LI258" s="168">
        <v>1788212</v>
      </c>
      <c r="LJ258" s="168">
        <v>1667604</v>
      </c>
      <c r="LK258" s="168">
        <v>4522832</v>
      </c>
      <c r="LL258" s="168">
        <v>4194822</v>
      </c>
      <c r="LM258" s="168">
        <v>138370</v>
      </c>
      <c r="LN258" s="168">
        <v>600771</v>
      </c>
      <c r="LO258" s="21"/>
      <c r="LP258" s="21"/>
      <c r="LQ258" s="21"/>
      <c r="LR258" s="21"/>
      <c r="LS258" s="21"/>
      <c r="LT258" s="21"/>
      <c r="LU258" s="21"/>
      <c r="LV258" s="21"/>
      <c r="LW258" s="21"/>
      <c r="LX258" s="21"/>
      <c r="LY258" s="21"/>
      <c r="LZ258" s="21"/>
      <c r="MA258" s="168">
        <v>28009656</v>
      </c>
      <c r="MB258" s="168">
        <v>27181022</v>
      </c>
      <c r="MC258" s="168">
        <v>652160</v>
      </c>
      <c r="MD258" s="168">
        <v>574124</v>
      </c>
      <c r="ME258" s="168">
        <v>375000</v>
      </c>
      <c r="MF258" s="168">
        <v>575000</v>
      </c>
      <c r="MG258" s="168">
        <v>1696151</v>
      </c>
      <c r="MH258" s="168">
        <v>1731718</v>
      </c>
      <c r="MI258" s="21"/>
      <c r="MJ258" s="21"/>
      <c r="MK258" s="21"/>
      <c r="ML258" s="21"/>
      <c r="MM258" s="21"/>
      <c r="MN258" s="21"/>
      <c r="MO258" s="21"/>
      <c r="MP258" s="21"/>
      <c r="MQ258" s="21"/>
      <c r="MR258" s="21"/>
      <c r="MS258" s="21"/>
      <c r="MT258" s="21"/>
      <c r="MU258" s="21"/>
      <c r="MV258" s="21"/>
      <c r="MW258" s="21"/>
      <c r="MX258" s="21"/>
      <c r="MY258" s="21"/>
      <c r="MZ258" s="21"/>
      <c r="NA258" s="21"/>
      <c r="NB258" s="21"/>
      <c r="NC258" s="168">
        <v>648294</v>
      </c>
      <c r="ND258" s="168">
        <v>-13295</v>
      </c>
      <c r="NE258" s="21"/>
      <c r="NF258" s="21"/>
      <c r="NG258" s="168">
        <v>2269313</v>
      </c>
      <c r="NH258" s="168">
        <v>1621169</v>
      </c>
      <c r="NI258" s="21"/>
      <c r="NJ258" s="21"/>
      <c r="NK258" s="21"/>
      <c r="NL258" s="21"/>
      <c r="NM258" s="21"/>
      <c r="NN258" s="21"/>
      <c r="NO258" s="168">
        <v>39772525</v>
      </c>
      <c r="NP258" s="168">
        <v>38514759</v>
      </c>
      <c r="NQ258" s="168" t="s">
        <v>1233</v>
      </c>
      <c r="NR258" s="168" t="s">
        <v>769</v>
      </c>
      <c r="NS258" s="168" t="s">
        <v>770</v>
      </c>
      <c r="NT258" s="168" t="s">
        <v>771</v>
      </c>
      <c r="NU258" s="168">
        <v>7401</v>
      </c>
      <c r="NV258" s="168" t="s">
        <v>2104</v>
      </c>
      <c r="NW258" s="168" t="s">
        <v>28</v>
      </c>
      <c r="NX258" s="168" t="s">
        <v>25</v>
      </c>
      <c r="NY258" s="169">
        <v>42794</v>
      </c>
      <c r="NZ258" s="21"/>
      <c r="OA258" s="169">
        <v>42986</v>
      </c>
      <c r="OB258" s="168" t="s">
        <v>1399</v>
      </c>
      <c r="OC258" s="168">
        <v>0</v>
      </c>
      <c r="OD258" s="168" t="s">
        <v>2105</v>
      </c>
      <c r="OE258" s="168" t="s">
        <v>1400</v>
      </c>
      <c r="OF258" s="168" t="s">
        <v>2515</v>
      </c>
      <c r="OG258" s="168" t="s">
        <v>2003</v>
      </c>
      <c r="OH258" s="168" t="s">
        <v>860</v>
      </c>
      <c r="OI258" s="168" t="s">
        <v>766</v>
      </c>
      <c r="OJ258" s="168" t="s">
        <v>3240</v>
      </c>
      <c r="OK258" s="168" t="s">
        <v>767</v>
      </c>
    </row>
    <row r="259" spans="1:401" x14ac:dyDescent="0.2">
      <c r="A259" s="170" t="str">
        <f>Liste[[#This Row],[Siren]]</f>
        <v>533173373</v>
      </c>
      <c r="B259" s="198" t="str">
        <f>Liste[[#This Row],[Dénomination]]&amp;" - comptes "&amp;YEAR(Liste[[#This Row],[Date de cloture de l''exercice]])</f>
        <v>GROUPE SVP - comptes 2017</v>
      </c>
      <c r="C259" s="21"/>
      <c r="D259" s="21"/>
      <c r="E259" s="168">
        <v>139255</v>
      </c>
      <c r="F259" s="168">
        <v>1766594</v>
      </c>
      <c r="G259" s="168">
        <v>1554739</v>
      </c>
      <c r="H259" s="168">
        <v>1905849</v>
      </c>
      <c r="I259" s="168">
        <v>2498210</v>
      </c>
      <c r="J259" s="168">
        <v>2125030</v>
      </c>
      <c r="K259" s="168">
        <v>2211039</v>
      </c>
      <c r="L259" s="168">
        <v>4623240</v>
      </c>
      <c r="M259" s="21"/>
      <c r="N259" s="168">
        <v>616551</v>
      </c>
      <c r="O259" s="168">
        <v>576945</v>
      </c>
      <c r="P259" s="168">
        <v>616551</v>
      </c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168">
        <v>448</v>
      </c>
      <c r="AE259" s="168">
        <v>334415</v>
      </c>
      <c r="AF259" s="168">
        <v>448</v>
      </c>
      <c r="AG259" s="21"/>
      <c r="AH259" s="21"/>
      <c r="AI259" s="21"/>
      <c r="AJ259" s="21"/>
      <c r="AK259" s="21"/>
      <c r="AL259" s="168">
        <v>106461</v>
      </c>
      <c r="AM259" s="168">
        <v>109668</v>
      </c>
      <c r="AN259" s="168">
        <v>106461</v>
      </c>
      <c r="AO259" s="21"/>
      <c r="AP259" s="21"/>
      <c r="AQ259" s="21"/>
      <c r="AR259" s="21"/>
      <c r="AS259" s="21"/>
      <c r="AT259" s="21"/>
      <c r="AU259" s="21"/>
      <c r="AV259" s="21"/>
      <c r="AW259" s="168">
        <v>627167</v>
      </c>
      <c r="AX259" s="21"/>
      <c r="AY259" s="21"/>
      <c r="AZ259" s="168">
        <v>795890</v>
      </c>
      <c r="BA259" s="168">
        <v>662148</v>
      </c>
      <c r="BB259" s="168">
        <v>795890</v>
      </c>
      <c r="BC259" s="168">
        <v>1415347</v>
      </c>
      <c r="BD259" s="168">
        <v>9703029</v>
      </c>
      <c r="BE259" s="168">
        <v>8476083</v>
      </c>
      <c r="BF259" s="168">
        <v>11118376</v>
      </c>
      <c r="BG259" s="168">
        <v>4999523</v>
      </c>
      <c r="BH259" s="168">
        <v>4952684</v>
      </c>
      <c r="BI259" s="168">
        <v>876388</v>
      </c>
      <c r="BJ259" s="168">
        <v>9952207</v>
      </c>
      <c r="BK259" s="168">
        <v>399664</v>
      </c>
      <c r="BL259" s="168">
        <v>70901</v>
      </c>
      <c r="BM259" s="168">
        <v>100433</v>
      </c>
      <c r="BN259" s="168">
        <v>470565</v>
      </c>
      <c r="BO259" s="21"/>
      <c r="BP259" s="21"/>
      <c r="BQ259" s="21"/>
      <c r="BR259" s="21"/>
      <c r="BS259" s="21"/>
      <c r="BT259" s="21"/>
      <c r="BU259" s="21"/>
      <c r="BV259" s="21"/>
      <c r="BW259" s="21"/>
      <c r="BX259" s="168">
        <v>1814610</v>
      </c>
      <c r="BY259" s="168">
        <v>3218695</v>
      </c>
      <c r="BZ259" s="168">
        <v>1814610</v>
      </c>
      <c r="CA259" s="21"/>
      <c r="CB259" s="21"/>
      <c r="CC259" s="21"/>
      <c r="CD259" s="168">
        <v>16784158</v>
      </c>
      <c r="CE259" s="168">
        <v>60248668</v>
      </c>
      <c r="CF259" s="168">
        <v>59212173</v>
      </c>
      <c r="CG259" s="168">
        <v>77032826</v>
      </c>
      <c r="CH259" s="21"/>
      <c r="CI259" s="21"/>
      <c r="CJ259" s="21"/>
      <c r="CK259" s="21"/>
      <c r="CL259" s="21"/>
      <c r="CM259" s="21"/>
      <c r="CN259" s="21"/>
      <c r="CO259" s="21"/>
      <c r="CP259" s="21"/>
      <c r="CQ259" s="168">
        <v>8653358</v>
      </c>
      <c r="CR259" s="168">
        <v>8653358</v>
      </c>
      <c r="CS259" s="168">
        <v>8653358</v>
      </c>
      <c r="CT259" s="21"/>
      <c r="CU259" s="21"/>
      <c r="CV259" s="21"/>
      <c r="CW259" s="21"/>
      <c r="CX259" s="21"/>
      <c r="CY259" s="21"/>
      <c r="CZ259" s="21"/>
      <c r="DA259" s="21"/>
      <c r="DB259" s="21"/>
      <c r="DC259" s="168">
        <v>153643</v>
      </c>
      <c r="DD259" s="168">
        <v>2267073</v>
      </c>
      <c r="DE259" s="168">
        <v>153643</v>
      </c>
      <c r="DF259" s="168">
        <v>11820</v>
      </c>
      <c r="DG259" s="21"/>
      <c r="DH259" s="168">
        <v>994</v>
      </c>
      <c r="DI259" s="168">
        <v>11820</v>
      </c>
      <c r="DJ259" s="21"/>
      <c r="DK259" s="168">
        <v>3759</v>
      </c>
      <c r="DL259" s="168">
        <v>4507</v>
      </c>
      <c r="DM259" s="168">
        <v>3759</v>
      </c>
      <c r="DN259" s="21"/>
      <c r="DO259" s="168">
        <v>11180</v>
      </c>
      <c r="DP259" s="168">
        <v>16101</v>
      </c>
      <c r="DQ259" s="168">
        <v>11180</v>
      </c>
      <c r="DR259" s="21"/>
      <c r="DS259" s="21"/>
      <c r="DT259" s="21"/>
      <c r="DU259" s="21"/>
      <c r="DV259" s="21"/>
      <c r="DW259" s="168">
        <v>4076</v>
      </c>
      <c r="DX259" s="168">
        <v>2155</v>
      </c>
      <c r="DY259" s="168">
        <v>4076</v>
      </c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168">
        <v>7939707</v>
      </c>
      <c r="EL259" s="168">
        <v>16584897</v>
      </c>
      <c r="EM259" s="168">
        <v>15031025</v>
      </c>
      <c r="EN259" s="168">
        <v>24524604</v>
      </c>
      <c r="EO259" s="168">
        <v>1554602</v>
      </c>
      <c r="EP259" s="168">
        <v>16694768</v>
      </c>
      <c r="EQ259" s="168">
        <v>16489432</v>
      </c>
      <c r="ER259" s="168">
        <v>18249370</v>
      </c>
      <c r="ES259" s="168">
        <v>26278467</v>
      </c>
      <c r="ET259" s="168">
        <v>93528334</v>
      </c>
      <c r="EU259" s="168">
        <v>91359810</v>
      </c>
      <c r="EV259" s="168">
        <v>119806801</v>
      </c>
      <c r="EW259" s="21"/>
      <c r="EX259" s="21"/>
      <c r="EY259" s="21"/>
      <c r="EZ259" s="21"/>
      <c r="FA259" s="21"/>
      <c r="FB259" s="21"/>
      <c r="FC259" s="21"/>
      <c r="FD259" s="21"/>
      <c r="FE259" s="21"/>
      <c r="FF259" s="168">
        <v>600019</v>
      </c>
      <c r="FG259" s="168">
        <v>600018</v>
      </c>
      <c r="FH259" s="168">
        <v>600019</v>
      </c>
      <c r="FI259" s="168">
        <v>-135273</v>
      </c>
      <c r="FJ259" s="168">
        <v>-89919</v>
      </c>
      <c r="FK259" s="21"/>
      <c r="FL259" s="21"/>
      <c r="FM259" s="168">
        <v>385672</v>
      </c>
      <c r="FN259" s="168">
        <v>192994</v>
      </c>
      <c r="FO259" s="168">
        <v>7288</v>
      </c>
      <c r="FP259" s="168">
        <v>7711</v>
      </c>
      <c r="FQ259" s="21"/>
      <c r="FR259" s="21"/>
      <c r="FS259" s="21"/>
      <c r="FT259" s="168">
        <v>5000</v>
      </c>
      <c r="FU259" s="168">
        <v>-18651</v>
      </c>
      <c r="FV259" s="168">
        <v>54100</v>
      </c>
      <c r="FW259" s="168">
        <v>1383077</v>
      </c>
      <c r="FX259" s="168">
        <v>1951157</v>
      </c>
      <c r="FY259" s="21"/>
      <c r="FZ259" s="21"/>
      <c r="GA259" s="21"/>
      <c r="GB259" s="21"/>
      <c r="GC259" s="168">
        <v>119835</v>
      </c>
      <c r="GD259" s="168">
        <v>32523</v>
      </c>
      <c r="GE259" s="21"/>
      <c r="GF259" s="21"/>
      <c r="GG259" s="21"/>
      <c r="GH259" s="21"/>
      <c r="GI259" s="21"/>
      <c r="GJ259" s="21"/>
      <c r="GK259" s="168">
        <v>136185</v>
      </c>
      <c r="GL259" s="168">
        <v>75136</v>
      </c>
      <c r="GM259" s="21"/>
      <c r="GN259" s="21"/>
      <c r="GO259" s="21"/>
      <c r="GP259" s="21"/>
      <c r="GQ259" s="21"/>
      <c r="GR259" s="21"/>
      <c r="GS259" s="21"/>
      <c r="GT259" s="21"/>
      <c r="GU259" s="168">
        <v>392960</v>
      </c>
      <c r="GV259" s="168">
        <v>205705</v>
      </c>
      <c r="GW259" s="168">
        <v>257687</v>
      </c>
      <c r="GX259" s="168">
        <v>115786</v>
      </c>
      <c r="GY259" s="168">
        <v>36865</v>
      </c>
      <c r="GZ259" s="168">
        <v>33080</v>
      </c>
      <c r="HA259" s="168">
        <v>20698</v>
      </c>
      <c r="HB259" s="168">
        <v>26106</v>
      </c>
      <c r="HC259" s="168">
        <v>17196317</v>
      </c>
      <c r="HD259" s="168">
        <v>13740212</v>
      </c>
      <c r="HE259" s="168">
        <v>43632</v>
      </c>
      <c r="HF259" s="168">
        <v>147855</v>
      </c>
      <c r="HG259" s="168">
        <v>4610</v>
      </c>
      <c r="HH259" s="168">
        <v>8909</v>
      </c>
      <c r="HI259" s="168">
        <v>88806</v>
      </c>
      <c r="HJ259" s="168">
        <v>286637</v>
      </c>
      <c r="HK259" s="21"/>
      <c r="HL259" s="21"/>
      <c r="HM259" s="21"/>
      <c r="HN259" s="21"/>
      <c r="HO259" s="168">
        <v>11501635</v>
      </c>
      <c r="HP259" s="168">
        <v>11698986</v>
      </c>
      <c r="HQ259" s="168">
        <v>15596</v>
      </c>
      <c r="HR259" s="168">
        <v>22824</v>
      </c>
      <c r="HS259" s="168">
        <v>28695</v>
      </c>
      <c r="HT259" s="168">
        <v>18259</v>
      </c>
      <c r="HU259" s="21"/>
      <c r="HV259" s="21"/>
      <c r="HW259" s="21"/>
      <c r="HX259" s="21"/>
      <c r="HY259" s="21"/>
      <c r="HZ259" s="21"/>
      <c r="IA259" s="21"/>
      <c r="IB259" s="21"/>
      <c r="IC259" s="168">
        <v>7580</v>
      </c>
      <c r="ID259" s="168">
        <v>6741</v>
      </c>
      <c r="IE259" s="168">
        <v>2174735</v>
      </c>
      <c r="IF259" s="168">
        <v>2103685</v>
      </c>
      <c r="IG259" s="168">
        <v>3229571</v>
      </c>
      <c r="IH259" s="168">
        <v>3892459</v>
      </c>
      <c r="II259" s="21"/>
      <c r="IJ259" s="21"/>
      <c r="IK259" s="21"/>
      <c r="IL259" s="21"/>
      <c r="IM259" s="21"/>
      <c r="IN259" s="21"/>
      <c r="IO259" s="21"/>
      <c r="IP259" s="168">
        <v>39</v>
      </c>
      <c r="IQ259" s="168">
        <v>7</v>
      </c>
      <c r="IR259" s="168">
        <v>1404</v>
      </c>
      <c r="IS259" s="21"/>
      <c r="IT259" s="21"/>
      <c r="IU259" s="168">
        <v>4122319</v>
      </c>
      <c r="IV259" s="168">
        <v>4601567</v>
      </c>
      <c r="IW259" s="168">
        <v>7341749</v>
      </c>
      <c r="IX259" s="168">
        <v>8494984</v>
      </c>
      <c r="IY259" s="168">
        <v>-3219430</v>
      </c>
      <c r="IZ259" s="168">
        <v>-3893417</v>
      </c>
      <c r="JA259" s="168">
        <v>124255</v>
      </c>
      <c r="JB259" s="168">
        <v>912039</v>
      </c>
      <c r="JC259" s="21"/>
      <c r="JD259" s="21"/>
      <c r="JE259" s="168">
        <v>28129385</v>
      </c>
      <c r="JF259" s="168">
        <v>28013461</v>
      </c>
      <c r="JG259" s="168">
        <v>83356</v>
      </c>
      <c r="JH259" s="168">
        <v>3820</v>
      </c>
      <c r="JI259" s="168">
        <v>62076251</v>
      </c>
      <c r="JJ259" s="168">
        <v>57682100</v>
      </c>
      <c r="JK259" s="168">
        <v>3252742</v>
      </c>
      <c r="JL259" s="168">
        <v>3922032</v>
      </c>
      <c r="JM259" s="168">
        <v>2061551</v>
      </c>
      <c r="JN259" s="168">
        <v>2187084</v>
      </c>
      <c r="JO259" s="168">
        <v>33312</v>
      </c>
      <c r="JP259" s="168">
        <v>28615</v>
      </c>
      <c r="JQ259" s="168">
        <v>749</v>
      </c>
      <c r="JR259" s="168">
        <v>-559</v>
      </c>
      <c r="JS259" s="168">
        <v>4204</v>
      </c>
      <c r="JT259" s="168">
        <v>4281</v>
      </c>
      <c r="JU259" s="21"/>
      <c r="JV259" s="21"/>
      <c r="JW259" s="21"/>
      <c r="JX259" s="21"/>
      <c r="JY259" s="21"/>
      <c r="JZ259" s="21"/>
      <c r="KA259" s="21"/>
      <c r="KB259" s="21"/>
      <c r="KC259" s="21"/>
      <c r="KD259" s="21"/>
      <c r="KE259" s="168">
        <v>62273711</v>
      </c>
      <c r="KF259" s="168">
        <v>58922707</v>
      </c>
      <c r="KG259" s="21"/>
      <c r="KH259" s="21"/>
      <c r="KI259" s="168">
        <v>39841</v>
      </c>
      <c r="KJ259" s="168">
        <v>70326</v>
      </c>
      <c r="KK259" s="21"/>
      <c r="KL259" s="21"/>
      <c r="KM259" s="21"/>
      <c r="KN259" s="21"/>
      <c r="KO259" s="21"/>
      <c r="KP259" s="21"/>
      <c r="KQ259" s="168">
        <v>476753</v>
      </c>
      <c r="KR259" s="168">
        <v>103423</v>
      </c>
      <c r="KS259" s="21"/>
      <c r="KT259" s="21"/>
      <c r="KU259" s="21"/>
      <c r="KV259" s="21"/>
      <c r="KW259" s="168">
        <v>6431</v>
      </c>
      <c r="KX259" s="168">
        <v>6431</v>
      </c>
      <c r="KY259" s="168">
        <v>806424</v>
      </c>
      <c r="KZ259" s="168">
        <v>761458</v>
      </c>
      <c r="LA259" s="168">
        <v>31863528</v>
      </c>
      <c r="LB259" s="168">
        <v>12743528</v>
      </c>
      <c r="LC259" s="21"/>
      <c r="LD259" s="21"/>
      <c r="LE259" s="168">
        <v>-96250</v>
      </c>
      <c r="LF259" s="168">
        <v>32254</v>
      </c>
      <c r="LG259" s="21"/>
      <c r="LH259" s="21"/>
      <c r="LI259" s="168">
        <v>9716350</v>
      </c>
      <c r="LJ259" s="168">
        <v>10999240</v>
      </c>
      <c r="LK259" s="168">
        <v>3902606</v>
      </c>
      <c r="LL259" s="168">
        <v>2832253</v>
      </c>
      <c r="LM259" s="168">
        <v>81699</v>
      </c>
      <c r="LN259" s="168">
        <v>50870</v>
      </c>
      <c r="LO259" s="21"/>
      <c r="LP259" s="21"/>
      <c r="LQ259" s="21"/>
      <c r="LR259" s="21"/>
      <c r="LS259" s="21"/>
      <c r="LT259" s="21"/>
      <c r="LU259" s="21"/>
      <c r="LV259" s="21"/>
      <c r="LW259" s="21"/>
      <c r="LX259" s="21"/>
      <c r="LY259" s="21"/>
      <c r="LZ259" s="21"/>
      <c r="MA259" s="168">
        <v>2216264</v>
      </c>
      <c r="MB259" s="168">
        <v>33035626</v>
      </c>
      <c r="MC259" s="168">
        <v>37377286</v>
      </c>
      <c r="MD259" s="168">
        <v>6932</v>
      </c>
      <c r="ME259" s="21"/>
      <c r="MF259" s="168">
        <v>28000564</v>
      </c>
      <c r="MG259" s="168">
        <v>134096</v>
      </c>
      <c r="MH259" s="168">
        <v>23784</v>
      </c>
      <c r="MI259" s="21"/>
      <c r="MJ259" s="21"/>
      <c r="MK259" s="21"/>
      <c r="ML259" s="21"/>
      <c r="MM259" s="168">
        <v>8951171</v>
      </c>
      <c r="MN259" s="168">
        <v>7793787</v>
      </c>
      <c r="MO259" s="168">
        <v>4384728</v>
      </c>
      <c r="MP259" s="168">
        <v>4177773</v>
      </c>
      <c r="MQ259" s="168">
        <v>1233560</v>
      </c>
      <c r="MR259" s="168">
        <v>1257349</v>
      </c>
      <c r="MS259" s="21"/>
      <c r="MT259" s="21"/>
      <c r="MU259" s="168">
        <v>443177</v>
      </c>
      <c r="MV259" s="21"/>
      <c r="MW259" s="168">
        <v>1247185</v>
      </c>
      <c r="MX259" s="21"/>
      <c r="MY259" s="21"/>
      <c r="MZ259" s="21"/>
      <c r="NA259" s="21"/>
      <c r="NB259" s="21"/>
      <c r="NC259" s="168">
        <v>2718858</v>
      </c>
      <c r="ND259" s="168">
        <v>-1327576</v>
      </c>
      <c r="NE259" s="21"/>
      <c r="NF259" s="21"/>
      <c r="NG259" s="168">
        <v>24207628</v>
      </c>
      <c r="NH259" s="168">
        <v>2265110</v>
      </c>
      <c r="NI259" s="168">
        <v>6431</v>
      </c>
      <c r="NJ259" s="168">
        <v>6431</v>
      </c>
      <c r="NK259" s="168">
        <v>33337</v>
      </c>
      <c r="NL259" s="168">
        <v>45201</v>
      </c>
      <c r="NM259" s="168">
        <v>63528553</v>
      </c>
      <c r="NN259" s="168">
        <v>83584153</v>
      </c>
      <c r="NO259" s="168">
        <v>93528334</v>
      </c>
      <c r="NP259" s="168">
        <v>91359810</v>
      </c>
      <c r="NQ259" s="168" t="s">
        <v>961</v>
      </c>
      <c r="NR259" s="168" t="s">
        <v>769</v>
      </c>
      <c r="NS259" s="168" t="s">
        <v>770</v>
      </c>
      <c r="NT259" s="168" t="s">
        <v>771</v>
      </c>
      <c r="NU259" s="168">
        <v>9301</v>
      </c>
      <c r="NV259" s="168" t="s">
        <v>2104</v>
      </c>
      <c r="NW259" s="168" t="s">
        <v>28</v>
      </c>
      <c r="NX259" s="168" t="s">
        <v>25</v>
      </c>
      <c r="NY259" s="169">
        <v>42794</v>
      </c>
      <c r="NZ259" s="169">
        <v>42429</v>
      </c>
      <c r="OA259" s="169">
        <v>42944</v>
      </c>
      <c r="OB259" s="168" t="s">
        <v>1030</v>
      </c>
      <c r="OC259" s="168">
        <v>12</v>
      </c>
      <c r="OD259" s="168" t="s">
        <v>2105</v>
      </c>
      <c r="OE259" s="168" t="s">
        <v>2233</v>
      </c>
      <c r="OF259" s="168" t="s">
        <v>2235</v>
      </c>
      <c r="OG259" s="168" t="s">
        <v>1854</v>
      </c>
      <c r="OH259" s="168" t="s">
        <v>785</v>
      </c>
      <c r="OI259" s="168" t="s">
        <v>766</v>
      </c>
      <c r="OJ259" s="168" t="s">
        <v>3240</v>
      </c>
      <c r="OK259" s="168" t="s">
        <v>767</v>
      </c>
    </row>
    <row r="260" spans="1:401" x14ac:dyDescent="0.2">
      <c r="A260" s="170" t="str">
        <f>Liste[[#This Row],[Siren]]</f>
        <v>454081233</v>
      </c>
      <c r="B260" s="198" t="str">
        <f>Liste[[#This Row],[Dénomination]]&amp;" - comptes "&amp;YEAR(Liste[[#This Row],[Date de cloture de l''exercice]])</f>
        <v>CAMUS HOLDINGS - comptes 2017</v>
      </c>
      <c r="C260" s="21"/>
      <c r="D260" s="21"/>
      <c r="E260" s="21"/>
      <c r="F260" s="168">
        <v>3468000</v>
      </c>
      <c r="G260" s="168">
        <v>2693000</v>
      </c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168">
        <v>6571000</v>
      </c>
      <c r="BE260" s="168">
        <v>7096000</v>
      </c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168">
        <v>20179000</v>
      </c>
      <c r="BY260" s="168">
        <v>13990000</v>
      </c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168">
        <v>18990000</v>
      </c>
      <c r="EM260" s="168">
        <v>17821000</v>
      </c>
      <c r="EN260" s="21"/>
      <c r="EO260" s="21"/>
      <c r="EP260" s="168">
        <v>85928000</v>
      </c>
      <c r="EQ260" s="168">
        <v>89746000</v>
      </c>
      <c r="ER260" s="21"/>
      <c r="ES260" s="21"/>
      <c r="ET260" s="168">
        <v>104918</v>
      </c>
      <c r="EU260" s="168">
        <v>107567</v>
      </c>
      <c r="EV260" s="21"/>
      <c r="EW260" s="21"/>
      <c r="EX260" s="21"/>
      <c r="EY260" s="21"/>
      <c r="EZ260" s="21"/>
      <c r="FA260" s="21"/>
      <c r="FB260" s="21"/>
      <c r="FC260" s="21"/>
      <c r="FD260" s="21"/>
      <c r="FE260" s="21"/>
      <c r="FF260" s="168">
        <v>6000</v>
      </c>
      <c r="FG260" s="168">
        <v>6000</v>
      </c>
      <c r="FH260" s="21"/>
      <c r="FI260" s="168">
        <v>-172000</v>
      </c>
      <c r="FJ260" s="168">
        <v>1159000</v>
      </c>
      <c r="FK260" s="21"/>
      <c r="FL260" s="21"/>
      <c r="FM260" s="21"/>
      <c r="FN260" s="21"/>
      <c r="FO260" s="21"/>
      <c r="FP260" s="21"/>
      <c r="FQ260" s="21"/>
      <c r="FR260" s="21"/>
      <c r="FS260" s="21"/>
      <c r="FT260" s="21"/>
      <c r="FU260" s="21"/>
      <c r="FV260" s="21"/>
      <c r="FW260" s="21"/>
      <c r="FX260" s="21"/>
      <c r="FY260" s="21"/>
      <c r="FZ260" s="21"/>
      <c r="GA260" s="21"/>
      <c r="GB260" s="21"/>
      <c r="GC260" s="21"/>
      <c r="GD260" s="21"/>
      <c r="GE260" s="21"/>
      <c r="GF260" s="21"/>
      <c r="GG260" s="21"/>
      <c r="GH260" s="21"/>
      <c r="GI260" s="21"/>
      <c r="GJ260" s="21"/>
      <c r="GK260" s="21"/>
      <c r="GL260" s="21"/>
      <c r="GM260" s="21"/>
      <c r="GN260" s="21"/>
      <c r="GO260" s="21"/>
      <c r="GP260" s="21"/>
      <c r="GQ260" s="21"/>
      <c r="GR260" s="21"/>
      <c r="GS260" s="21"/>
      <c r="GT260" s="21"/>
      <c r="GU260" s="168">
        <v>303000</v>
      </c>
      <c r="GV260" s="168">
        <v>154000</v>
      </c>
      <c r="GW260" s="168">
        <v>131000</v>
      </c>
      <c r="GX260" s="168">
        <v>1313000</v>
      </c>
      <c r="GY260" s="21"/>
      <c r="GZ260" s="21"/>
      <c r="HA260" s="21"/>
      <c r="HB260" s="21"/>
      <c r="HC260" s="168">
        <v>24331000</v>
      </c>
      <c r="HD260" s="168">
        <v>22870000</v>
      </c>
      <c r="HE260" s="21"/>
      <c r="HF260" s="21"/>
      <c r="HG260" s="21"/>
      <c r="HH260" s="21"/>
      <c r="HI260" s="168">
        <v>20000</v>
      </c>
      <c r="HJ260" s="168">
        <v>49000</v>
      </c>
      <c r="HK260" s="21"/>
      <c r="HL260" s="21"/>
      <c r="HM260" s="21"/>
      <c r="HN260" s="21"/>
      <c r="HO260" s="21"/>
      <c r="HP260" s="21"/>
      <c r="HQ260" s="21"/>
      <c r="HR260" s="21"/>
      <c r="HS260" s="21"/>
      <c r="HT260" s="21"/>
      <c r="HU260" s="21"/>
      <c r="HV260" s="21"/>
      <c r="HW260" s="21"/>
      <c r="HX260" s="21"/>
      <c r="HY260" s="21"/>
      <c r="HZ260" s="21"/>
      <c r="IA260" s="21"/>
      <c r="IB260" s="21"/>
      <c r="IC260" s="21"/>
      <c r="ID260" s="21"/>
      <c r="IE260" s="168">
        <v>1640000</v>
      </c>
      <c r="IF260" s="168">
        <v>1564000</v>
      </c>
      <c r="IG260" s="21"/>
      <c r="IH260" s="21"/>
      <c r="II260" s="21"/>
      <c r="IJ260" s="21"/>
      <c r="IK260" s="21"/>
      <c r="IL260" s="21"/>
      <c r="IM260" s="168">
        <v>1375000</v>
      </c>
      <c r="IN260" s="168">
        <v>-688000</v>
      </c>
      <c r="IO260" s="21"/>
      <c r="IP260" s="21"/>
      <c r="IQ260" s="21"/>
      <c r="IR260" s="21"/>
      <c r="IS260" s="21"/>
      <c r="IT260" s="21"/>
      <c r="IU260" s="168">
        <v>3827000</v>
      </c>
      <c r="IV260" s="168">
        <v>-2198000</v>
      </c>
      <c r="IW260" s="168">
        <v>5442000</v>
      </c>
      <c r="IX260" s="168">
        <v>628000</v>
      </c>
      <c r="IY260" s="168">
        <v>-1615000</v>
      </c>
      <c r="IZ260" s="168">
        <v>-2827000</v>
      </c>
      <c r="JA260" s="168">
        <v>1335000</v>
      </c>
      <c r="JB260" s="168">
        <v>3060000</v>
      </c>
      <c r="JC260" s="21"/>
      <c r="JD260" s="21"/>
      <c r="JE260" s="21"/>
      <c r="JF260" s="21"/>
      <c r="JG260" s="168">
        <v>9000</v>
      </c>
      <c r="JH260" s="168">
        <v>15000</v>
      </c>
      <c r="JI260" s="168">
        <v>91783000</v>
      </c>
      <c r="JJ260" s="168">
        <v>89531000</v>
      </c>
      <c r="JK260" s="168">
        <v>3586000</v>
      </c>
      <c r="JL260" s="168">
        <v>7069000</v>
      </c>
      <c r="JM260" s="168">
        <v>2738000</v>
      </c>
      <c r="JN260" s="168">
        <v>2436000</v>
      </c>
      <c r="JO260" s="168">
        <v>1971000</v>
      </c>
      <c r="JP260" s="168">
        <v>4242000</v>
      </c>
      <c r="JQ260" s="21"/>
      <c r="JR260" s="21"/>
      <c r="JS260" s="21"/>
      <c r="JT260" s="21"/>
      <c r="JU260" s="21"/>
      <c r="JV260" s="21"/>
      <c r="JW260" s="168">
        <v>94487000</v>
      </c>
      <c r="JX260" s="168">
        <v>87723000</v>
      </c>
      <c r="JY260" s="21"/>
      <c r="JZ260" s="21"/>
      <c r="KA260" s="21"/>
      <c r="KB260" s="21"/>
      <c r="KC260" s="21"/>
      <c r="KD260" s="21"/>
      <c r="KE260" s="21"/>
      <c r="KF260" s="21"/>
      <c r="KG260" s="21"/>
      <c r="KH260" s="21"/>
      <c r="KI260" s="168">
        <v>45424000</v>
      </c>
      <c r="KJ260" s="168">
        <v>38542000</v>
      </c>
      <c r="KK260" s="21"/>
      <c r="KL260" s="21"/>
      <c r="KM260" s="21"/>
      <c r="KN260" s="21"/>
      <c r="KO260" s="21"/>
      <c r="KP260" s="21"/>
      <c r="KQ260" s="168">
        <v>833000</v>
      </c>
      <c r="KR260" s="168">
        <v>805000</v>
      </c>
      <c r="KS260" s="21"/>
      <c r="KT260" s="21"/>
      <c r="KU260" s="21"/>
      <c r="KV260" s="21"/>
      <c r="KW260" s="21"/>
      <c r="KX260" s="21"/>
      <c r="KY260" s="21"/>
      <c r="KZ260" s="21"/>
      <c r="LA260" s="168">
        <v>21662000</v>
      </c>
      <c r="LB260" s="168">
        <v>21662000</v>
      </c>
      <c r="LC260" s="21"/>
      <c r="LD260" s="21"/>
      <c r="LE260" s="21"/>
      <c r="LF260" s="21"/>
      <c r="LG260" s="21"/>
      <c r="LH260" s="21"/>
      <c r="LI260" s="168">
        <v>6558000</v>
      </c>
      <c r="LJ260" s="168">
        <v>4245000</v>
      </c>
      <c r="LK260" s="168">
        <v>12651000</v>
      </c>
      <c r="LL260" s="168">
        <v>10433000</v>
      </c>
      <c r="LM260" s="168">
        <v>137000</v>
      </c>
      <c r="LN260" s="168">
        <v>44000</v>
      </c>
      <c r="LO260" s="21"/>
      <c r="LP260" s="21"/>
      <c r="LQ260" s="21"/>
      <c r="LR260" s="21"/>
      <c r="LS260" s="21"/>
      <c r="LT260" s="21"/>
      <c r="LU260" s="21"/>
      <c r="LV260" s="21"/>
      <c r="LW260" s="21"/>
      <c r="LX260" s="21"/>
      <c r="LY260" s="21"/>
      <c r="LZ260" s="21"/>
      <c r="MA260" s="21"/>
      <c r="MB260" s="21"/>
      <c r="MC260" s="168">
        <v>44559000</v>
      </c>
      <c r="MD260" s="168">
        <v>52419000</v>
      </c>
      <c r="ME260" s="21"/>
      <c r="MF260" s="21"/>
      <c r="MG260" s="21"/>
      <c r="MH260" s="21"/>
      <c r="MI260" s="168">
        <v>2106000</v>
      </c>
      <c r="MJ260" s="168">
        <v>2106000</v>
      </c>
      <c r="MK260" s="21"/>
      <c r="ML260" s="21"/>
      <c r="MM260" s="21"/>
      <c r="MN260" s="21"/>
      <c r="MO260" s="21"/>
      <c r="MP260" s="21"/>
      <c r="MQ260" s="21"/>
      <c r="MR260" s="21"/>
      <c r="MS260" s="21"/>
      <c r="MT260" s="21"/>
      <c r="MU260" s="21"/>
      <c r="MV260" s="21"/>
      <c r="MW260" s="21"/>
      <c r="MX260" s="21"/>
      <c r="MY260" s="21"/>
      <c r="MZ260" s="21"/>
      <c r="NA260" s="21"/>
      <c r="NB260" s="21"/>
      <c r="NC260" s="168">
        <v>1427000</v>
      </c>
      <c r="ND260" s="168">
        <v>-1899000</v>
      </c>
      <c r="NE260" s="21"/>
      <c r="NF260" s="21"/>
      <c r="NG260" s="168">
        <v>39925000</v>
      </c>
      <c r="NH260" s="168">
        <v>38990000</v>
      </c>
      <c r="NI260" s="21"/>
      <c r="NJ260" s="21"/>
      <c r="NK260" s="168">
        <v>113000</v>
      </c>
      <c r="NL260" s="168">
        <v>119000</v>
      </c>
      <c r="NM260" s="168">
        <v>64738000</v>
      </c>
      <c r="NN260" s="168">
        <v>67964000</v>
      </c>
      <c r="NO260" s="168">
        <v>105428000</v>
      </c>
      <c r="NP260" s="168">
        <v>107568000</v>
      </c>
      <c r="NQ260" s="168" t="s">
        <v>1046</v>
      </c>
      <c r="NR260" s="168" t="s">
        <v>769</v>
      </c>
      <c r="NS260" s="168" t="s">
        <v>770</v>
      </c>
      <c r="NT260" s="168" t="s">
        <v>771</v>
      </c>
      <c r="NU260" s="168">
        <v>1601</v>
      </c>
      <c r="NV260" s="168" t="s">
        <v>2104</v>
      </c>
      <c r="NW260" s="168" t="s">
        <v>28</v>
      </c>
      <c r="NX260" s="168" t="s">
        <v>25</v>
      </c>
      <c r="NY260" s="169">
        <v>42794</v>
      </c>
      <c r="NZ260" s="169">
        <v>42429</v>
      </c>
      <c r="OA260" s="169">
        <v>42933</v>
      </c>
      <c r="OB260" s="168" t="s">
        <v>1047</v>
      </c>
      <c r="OC260" s="168">
        <v>12</v>
      </c>
      <c r="OD260" s="168" t="s">
        <v>2105</v>
      </c>
      <c r="OE260" s="168" t="s">
        <v>2157</v>
      </c>
      <c r="OF260" s="168" t="s">
        <v>2245</v>
      </c>
      <c r="OG260" s="168" t="s">
        <v>1858</v>
      </c>
      <c r="OH260" s="168" t="s">
        <v>924</v>
      </c>
      <c r="OI260" s="168" t="s">
        <v>766</v>
      </c>
      <c r="OJ260" s="168" t="s">
        <v>3240</v>
      </c>
      <c r="OK260" s="168" t="s">
        <v>767</v>
      </c>
    </row>
    <row r="261" spans="1:401" x14ac:dyDescent="0.2">
      <c r="A261" s="170" t="str">
        <f>Liste[[#This Row],[Siren]]</f>
        <v>800882888</v>
      </c>
      <c r="B261" s="198" t="str">
        <f>Liste[[#This Row],[Dénomination]]&amp;" - comptes "&amp;YEAR(Liste[[#This Row],[Date de cloture de l''exercice]])</f>
        <v>AGRO SERVICE DEVELOPPEMENT - comptes 2017</v>
      </c>
      <c r="C261" s="21"/>
      <c r="D261" s="21"/>
      <c r="E261" s="21"/>
      <c r="F261" s="168">
        <v>522</v>
      </c>
      <c r="G261" s="168">
        <v>505</v>
      </c>
      <c r="H261" s="21"/>
      <c r="I261" s="21"/>
      <c r="J261" s="168">
        <v>948</v>
      </c>
      <c r="K261" s="168">
        <v>670</v>
      </c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168">
        <v>1148</v>
      </c>
      <c r="AM261" s="168">
        <v>839</v>
      </c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168">
        <v>1381</v>
      </c>
      <c r="BE261" s="168">
        <v>1008</v>
      </c>
      <c r="BF261" s="21"/>
      <c r="BG261" s="21"/>
      <c r="BH261" s="21"/>
      <c r="BI261" s="21"/>
      <c r="BJ261" s="21"/>
      <c r="BK261" s="21"/>
      <c r="BL261" s="168">
        <v>2310</v>
      </c>
      <c r="BM261" s="168">
        <v>2851</v>
      </c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168">
        <v>89</v>
      </c>
      <c r="BY261" s="168">
        <v>60</v>
      </c>
      <c r="BZ261" s="21"/>
      <c r="CA261" s="21"/>
      <c r="CB261" s="21"/>
      <c r="CC261" s="21"/>
      <c r="CD261" s="21"/>
      <c r="CE261" s="168">
        <v>7424</v>
      </c>
      <c r="CF261" s="168">
        <v>7652</v>
      </c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168">
        <v>15018</v>
      </c>
      <c r="DL261" s="168">
        <v>14295</v>
      </c>
      <c r="DM261" s="21"/>
      <c r="DN261" s="21"/>
      <c r="DO261" s="168">
        <v>31</v>
      </c>
      <c r="DP261" s="168">
        <v>21</v>
      </c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168">
        <v>11719</v>
      </c>
      <c r="EM261" s="168">
        <v>12464</v>
      </c>
      <c r="EN261" s="21"/>
      <c r="EO261" s="21"/>
      <c r="EP261" s="168">
        <v>18766</v>
      </c>
      <c r="EQ261" s="168">
        <v>17320</v>
      </c>
      <c r="ER261" s="21"/>
      <c r="ES261" s="21"/>
      <c r="ET261" s="168">
        <v>30485</v>
      </c>
      <c r="EU261" s="168">
        <v>29784</v>
      </c>
      <c r="EV261" s="21"/>
      <c r="EW261" s="21"/>
      <c r="EX261" s="168">
        <v>955</v>
      </c>
      <c r="EY261" s="168">
        <v>1201</v>
      </c>
      <c r="EZ261" s="21"/>
      <c r="FA261" s="21"/>
      <c r="FB261" s="21"/>
      <c r="FC261" s="21"/>
      <c r="FD261" s="21"/>
      <c r="FE261" s="21"/>
      <c r="FF261" s="21"/>
      <c r="FG261" s="21"/>
      <c r="FH261" s="21"/>
      <c r="FI261" s="168">
        <v>-432</v>
      </c>
      <c r="FJ261" s="168">
        <v>-382</v>
      </c>
      <c r="FK261" s="21"/>
      <c r="FL261" s="21"/>
      <c r="FM261" s="21"/>
      <c r="FN261" s="21"/>
      <c r="FO261" s="21"/>
      <c r="FP261" s="21"/>
      <c r="FQ261" s="168">
        <v>812</v>
      </c>
      <c r="FR261" s="168">
        <v>795</v>
      </c>
      <c r="FS261" s="21"/>
      <c r="FT261" s="21"/>
      <c r="FU261" s="21"/>
      <c r="FV261" s="21"/>
      <c r="FW261" s="168">
        <v>464</v>
      </c>
      <c r="FX261" s="168">
        <v>540</v>
      </c>
      <c r="FY261" s="21"/>
      <c r="FZ261" s="21"/>
      <c r="GA261" s="21"/>
      <c r="GB261" s="21"/>
      <c r="GC261" s="21"/>
      <c r="GD261" s="21"/>
      <c r="GE261" s="21"/>
      <c r="GF261" s="21"/>
      <c r="GG261" s="21"/>
      <c r="GH261" s="21"/>
      <c r="GI261" s="21"/>
      <c r="GJ261" s="21"/>
      <c r="GK261" s="21"/>
      <c r="GL261" s="21"/>
      <c r="GM261" s="168">
        <v>319</v>
      </c>
      <c r="GN261" s="168">
        <v>492</v>
      </c>
      <c r="GO261" s="21"/>
      <c r="GP261" s="21"/>
      <c r="GQ261" s="21"/>
      <c r="GR261" s="21"/>
      <c r="GS261" s="168">
        <v>319</v>
      </c>
      <c r="GT261" s="168">
        <v>492</v>
      </c>
      <c r="GU261" s="168">
        <v>1692</v>
      </c>
      <c r="GV261" s="168">
        <v>443</v>
      </c>
      <c r="GW261" s="168">
        <v>1260</v>
      </c>
      <c r="GX261" s="168">
        <v>61</v>
      </c>
      <c r="GY261" s="21"/>
      <c r="GZ261" s="21"/>
      <c r="HA261" s="21"/>
      <c r="HB261" s="21"/>
      <c r="HC261" s="168">
        <v>2707</v>
      </c>
      <c r="HD261" s="168">
        <v>2388</v>
      </c>
      <c r="HE261" s="168">
        <v>49</v>
      </c>
      <c r="HF261" s="168">
        <v>73</v>
      </c>
      <c r="HG261" s="21"/>
      <c r="HH261" s="21"/>
      <c r="HI261" s="168">
        <v>43</v>
      </c>
      <c r="HJ261" s="168">
        <v>33</v>
      </c>
      <c r="HK261" s="21"/>
      <c r="HL261" s="21"/>
      <c r="HM261" s="21"/>
      <c r="HN261" s="21"/>
      <c r="HO261" s="21"/>
      <c r="HP261" s="21"/>
      <c r="HQ261" s="21"/>
      <c r="HR261" s="21"/>
      <c r="HS261" s="21"/>
      <c r="HT261" s="21"/>
      <c r="HU261" s="168">
        <v>494</v>
      </c>
      <c r="HV261" s="168">
        <v>455</v>
      </c>
      <c r="HW261" s="21"/>
      <c r="HX261" s="21"/>
      <c r="HY261" s="21"/>
      <c r="HZ261" s="21"/>
      <c r="IA261" s="21"/>
      <c r="IB261" s="21"/>
      <c r="IC261" s="21"/>
      <c r="ID261" s="21"/>
      <c r="IE261" s="168">
        <v>531</v>
      </c>
      <c r="IF261" s="168">
        <v>506</v>
      </c>
      <c r="IG261" s="21"/>
      <c r="IH261" s="21"/>
      <c r="II261" s="21"/>
      <c r="IJ261" s="21"/>
      <c r="IK261" s="21"/>
      <c r="IL261" s="21"/>
      <c r="IM261" s="21"/>
      <c r="IN261" s="21"/>
      <c r="IO261" s="21"/>
      <c r="IP261" s="21"/>
      <c r="IQ261" s="21"/>
      <c r="IR261" s="21"/>
      <c r="IS261" s="21"/>
      <c r="IT261" s="21"/>
      <c r="IU261" s="168">
        <v>2027</v>
      </c>
      <c r="IV261" s="168">
        <v>2209</v>
      </c>
      <c r="IW261" s="21"/>
      <c r="IX261" s="21"/>
      <c r="IY261" s="168">
        <v>-403</v>
      </c>
      <c r="IZ261" s="168">
        <v>-421</v>
      </c>
      <c r="JA261" s="21"/>
      <c r="JB261" s="21"/>
      <c r="JC261" s="21"/>
      <c r="JD261" s="21"/>
      <c r="JE261" s="21"/>
      <c r="JF261" s="21"/>
      <c r="JG261" s="21"/>
      <c r="JH261" s="21"/>
      <c r="JI261" s="21"/>
      <c r="JJ261" s="21"/>
      <c r="JK261" s="168">
        <v>403</v>
      </c>
      <c r="JL261" s="168">
        <v>421</v>
      </c>
      <c r="JM261" s="168">
        <v>36032</v>
      </c>
      <c r="JN261" s="168">
        <v>32617</v>
      </c>
      <c r="JO261" s="21"/>
      <c r="JP261" s="21"/>
      <c r="JQ261" s="21"/>
      <c r="JR261" s="21"/>
      <c r="JS261" s="21"/>
      <c r="JT261" s="21"/>
      <c r="JU261" s="21"/>
      <c r="JV261" s="21"/>
      <c r="JW261" s="168">
        <v>35989</v>
      </c>
      <c r="JX261" s="168">
        <v>32584</v>
      </c>
      <c r="JY261" s="21"/>
      <c r="JZ261" s="21"/>
      <c r="KA261" s="21"/>
      <c r="KB261" s="21"/>
      <c r="KC261" s="21"/>
      <c r="KD261" s="21"/>
      <c r="KE261" s="168">
        <v>460</v>
      </c>
      <c r="KF261" s="168">
        <v>389</v>
      </c>
      <c r="KG261" s="21"/>
      <c r="KH261" s="21"/>
      <c r="KI261" s="168">
        <v>35529</v>
      </c>
      <c r="KJ261" s="168">
        <v>32195</v>
      </c>
      <c r="KK261" s="21"/>
      <c r="KL261" s="21"/>
      <c r="KM261" s="21"/>
      <c r="KN261" s="21"/>
      <c r="KO261" s="21"/>
      <c r="KP261" s="21"/>
      <c r="KQ261" s="168">
        <v>2100</v>
      </c>
      <c r="KR261" s="168">
        <v>1965</v>
      </c>
      <c r="KS261" s="21"/>
      <c r="KT261" s="21"/>
      <c r="KU261" s="21"/>
      <c r="KV261" s="21"/>
      <c r="KW261" s="21"/>
      <c r="KX261" s="21"/>
      <c r="KY261" s="21"/>
      <c r="KZ261" s="21"/>
      <c r="LA261" s="168">
        <v>10133</v>
      </c>
      <c r="LB261" s="168">
        <v>10133</v>
      </c>
      <c r="LC261" s="21"/>
      <c r="LD261" s="21"/>
      <c r="LE261" s="21"/>
      <c r="LF261" s="21"/>
      <c r="LG261" s="21"/>
      <c r="LH261" s="21"/>
      <c r="LI261" s="21"/>
      <c r="LJ261" s="21"/>
      <c r="LK261" s="168">
        <v>4511</v>
      </c>
      <c r="LL261" s="168">
        <v>4219</v>
      </c>
      <c r="LM261" s="168">
        <v>39</v>
      </c>
      <c r="LN261" s="168">
        <v>6</v>
      </c>
      <c r="LO261" s="21"/>
      <c r="LP261" s="21"/>
      <c r="LQ261" s="21"/>
      <c r="LR261" s="21"/>
      <c r="LS261" s="21"/>
      <c r="LT261" s="21"/>
      <c r="LU261" s="21"/>
      <c r="LV261" s="21"/>
      <c r="LW261" s="21"/>
      <c r="LX261" s="21"/>
      <c r="LY261" s="21"/>
      <c r="LZ261" s="21"/>
      <c r="MA261" s="168">
        <v>11265</v>
      </c>
      <c r="MB261" s="168">
        <v>11248</v>
      </c>
      <c r="MC261" s="21"/>
      <c r="MD261" s="21"/>
      <c r="ME261" s="21"/>
      <c r="MF261" s="21"/>
      <c r="MG261" s="168">
        <v>563</v>
      </c>
      <c r="MH261" s="168">
        <v>581</v>
      </c>
      <c r="MI261" s="21"/>
      <c r="MJ261" s="21"/>
      <c r="MK261" s="21"/>
      <c r="ML261" s="21"/>
      <c r="MM261" s="21"/>
      <c r="MN261" s="21"/>
      <c r="MO261" s="21"/>
      <c r="MP261" s="21"/>
      <c r="MQ261" s="168">
        <v>330</v>
      </c>
      <c r="MR261" s="168">
        <v>320</v>
      </c>
      <c r="MS261" s="21"/>
      <c r="MT261" s="21"/>
      <c r="MU261" s="21"/>
      <c r="MV261" s="21"/>
      <c r="MW261" s="21"/>
      <c r="MX261" s="21"/>
      <c r="MY261" s="21"/>
      <c r="MZ261" s="21"/>
      <c r="NA261" s="21"/>
      <c r="NB261" s="21"/>
      <c r="NC261" s="168">
        <v>319</v>
      </c>
      <c r="ND261" s="168">
        <v>492</v>
      </c>
      <c r="NE261" s="21"/>
      <c r="NF261" s="21"/>
      <c r="NG261" s="168">
        <v>11400</v>
      </c>
      <c r="NH261" s="168">
        <v>11081</v>
      </c>
      <c r="NI261" s="21"/>
      <c r="NJ261" s="21"/>
      <c r="NK261" s="21"/>
      <c r="NL261" s="21"/>
      <c r="NM261" s="168">
        <v>17915</v>
      </c>
      <c r="NN261" s="168">
        <v>17552</v>
      </c>
      <c r="NO261" s="168">
        <v>30485</v>
      </c>
      <c r="NP261" s="168">
        <v>29784</v>
      </c>
      <c r="NQ261" s="168" t="s">
        <v>1350</v>
      </c>
      <c r="NR261" s="168" t="s">
        <v>769</v>
      </c>
      <c r="NS261" s="168" t="s">
        <v>770</v>
      </c>
      <c r="NT261" s="168" t="s">
        <v>771</v>
      </c>
      <c r="NU261" s="168">
        <v>6303</v>
      </c>
      <c r="NV261" s="168" t="s">
        <v>2104</v>
      </c>
      <c r="NW261" s="168" t="s">
        <v>28</v>
      </c>
      <c r="NX261" s="168" t="s">
        <v>25</v>
      </c>
      <c r="NY261" s="169">
        <v>42794</v>
      </c>
      <c r="NZ261" s="169">
        <v>42429</v>
      </c>
      <c r="OA261" s="169">
        <v>42999</v>
      </c>
      <c r="OB261" s="168" t="s">
        <v>1351</v>
      </c>
      <c r="OC261" s="168">
        <v>12</v>
      </c>
      <c r="OD261" s="168" t="s">
        <v>2106</v>
      </c>
      <c r="OE261" s="168" t="s">
        <v>2261</v>
      </c>
      <c r="OF261" s="168" t="s">
        <v>2482</v>
      </c>
      <c r="OG261" s="168" t="s">
        <v>1980</v>
      </c>
      <c r="OH261" s="168" t="s">
        <v>969</v>
      </c>
      <c r="OI261" s="168" t="s">
        <v>766</v>
      </c>
      <c r="OJ261" s="168" t="s">
        <v>3240</v>
      </c>
      <c r="OK261" s="168" t="s">
        <v>767</v>
      </c>
    </row>
    <row r="262" spans="1:401" x14ac:dyDescent="0.2">
      <c r="A262" s="170" t="str">
        <f>Liste[[#This Row],[Siren]]</f>
        <v>448848507</v>
      </c>
      <c r="B262" s="198" t="str">
        <f>Liste[[#This Row],[Dénomination]]&amp;" - comptes "&amp;YEAR(Liste[[#This Row],[Date de cloture de l''exercice]])</f>
        <v>SOTUNDIS - comptes 2017</v>
      </c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168">
        <v>1083837</v>
      </c>
      <c r="BY262" s="168">
        <v>511360</v>
      </c>
      <c r="BZ262" s="21"/>
      <c r="CA262" s="21"/>
      <c r="CB262" s="21"/>
      <c r="CC262" s="21"/>
      <c r="CD262" s="21"/>
      <c r="CE262" s="168">
        <v>10361701</v>
      </c>
      <c r="CF262" s="168">
        <v>10361701</v>
      </c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168">
        <v>13422342</v>
      </c>
      <c r="EM262" s="168">
        <v>14446009</v>
      </c>
      <c r="EN262" s="21"/>
      <c r="EO262" s="21"/>
      <c r="EP262" s="168">
        <v>8056381</v>
      </c>
      <c r="EQ262" s="168">
        <v>7703736</v>
      </c>
      <c r="ER262" s="21"/>
      <c r="ES262" s="21"/>
      <c r="ET262" s="168">
        <v>21478723</v>
      </c>
      <c r="EU262" s="168">
        <v>22149745</v>
      </c>
      <c r="EV262" s="21"/>
      <c r="EW262" s="21"/>
      <c r="EX262" s="21"/>
      <c r="EY262" s="21"/>
      <c r="EZ262" s="21"/>
      <c r="FA262" s="21"/>
      <c r="FB262" s="21"/>
      <c r="FC262" s="21"/>
      <c r="FD262" s="21"/>
      <c r="FE262" s="21"/>
      <c r="FF262" s="21"/>
      <c r="FG262" s="21"/>
      <c r="FH262" s="21"/>
      <c r="FI262" s="168">
        <v>917826</v>
      </c>
      <c r="FJ262" s="168">
        <v>115301</v>
      </c>
      <c r="FK262" s="21"/>
      <c r="FL262" s="21"/>
      <c r="FM262" s="21"/>
      <c r="FN262" s="21"/>
      <c r="FO262" s="21"/>
      <c r="FP262" s="21"/>
      <c r="FQ262" s="21"/>
      <c r="FR262" s="168">
        <v>-721921</v>
      </c>
      <c r="FS262" s="21"/>
      <c r="FT262" s="21"/>
      <c r="FU262" s="168">
        <v>16634</v>
      </c>
      <c r="FV262" s="168">
        <v>-116665</v>
      </c>
      <c r="FW262" s="168">
        <v>-309668</v>
      </c>
      <c r="FX262" s="168">
        <v>-307681</v>
      </c>
      <c r="FY262" s="168">
        <v>13241</v>
      </c>
      <c r="FZ262" s="168">
        <v>5508</v>
      </c>
      <c r="GA262" s="21"/>
      <c r="GB262" s="21"/>
      <c r="GC262" s="21"/>
      <c r="GD262" s="21"/>
      <c r="GE262" s="21"/>
      <c r="GF262" s="21"/>
      <c r="GG262" s="21"/>
      <c r="GH262" s="21"/>
      <c r="GI262" s="21"/>
      <c r="GJ262" s="21"/>
      <c r="GK262" s="21"/>
      <c r="GL262" s="21"/>
      <c r="GM262" s="168">
        <v>2266124</v>
      </c>
      <c r="GN262" s="168">
        <v>368758</v>
      </c>
      <c r="GO262" s="168">
        <v>2266124</v>
      </c>
      <c r="GP262" s="168">
        <v>1090679</v>
      </c>
      <c r="GQ262" s="21"/>
      <c r="GR262" s="21"/>
      <c r="GS262" s="168">
        <v>2252883</v>
      </c>
      <c r="GT262" s="168">
        <v>363250</v>
      </c>
      <c r="GU262" s="21"/>
      <c r="GV262" s="21"/>
      <c r="GW262" s="21"/>
      <c r="GX262" s="21"/>
      <c r="GY262" s="21"/>
      <c r="GZ262" s="21"/>
      <c r="HA262" s="21"/>
      <c r="HB262" s="21"/>
      <c r="HC262" s="21"/>
      <c r="HD262" s="21"/>
      <c r="HE262" s="168">
        <v>2755568</v>
      </c>
      <c r="HF262" s="168">
        <v>2763640</v>
      </c>
      <c r="HG262" s="21"/>
      <c r="HH262" s="21"/>
      <c r="HI262" s="168">
        <v>711008</v>
      </c>
      <c r="HJ262" s="168">
        <v>671500</v>
      </c>
      <c r="HK262" s="21"/>
      <c r="HL262" s="21"/>
      <c r="HM262" s="21"/>
      <c r="HN262" s="21"/>
      <c r="HO262" s="21"/>
      <c r="HP262" s="21"/>
      <c r="HQ262" s="21"/>
      <c r="HR262" s="21"/>
      <c r="HS262" s="21"/>
      <c r="HT262" s="21"/>
      <c r="HU262" s="168">
        <v>1465119</v>
      </c>
      <c r="HV262" s="168">
        <v>1572046</v>
      </c>
      <c r="HW262" s="21"/>
      <c r="HX262" s="21"/>
      <c r="HY262" s="21"/>
      <c r="HZ262" s="21"/>
      <c r="IA262" s="21"/>
      <c r="IB262" s="21"/>
      <c r="IC262" s="21"/>
      <c r="ID262" s="21"/>
      <c r="IE262" s="168">
        <v>1203711</v>
      </c>
      <c r="IF262" s="168">
        <v>1164498</v>
      </c>
      <c r="IG262" s="21"/>
      <c r="IH262" s="21"/>
      <c r="II262" s="21"/>
      <c r="IJ262" s="21"/>
      <c r="IK262" s="21"/>
      <c r="IL262" s="21"/>
      <c r="IM262" s="21"/>
      <c r="IN262" s="21"/>
      <c r="IO262" s="21"/>
      <c r="IP262" s="21"/>
      <c r="IQ262" s="21"/>
      <c r="IR262" s="21"/>
      <c r="IS262" s="21"/>
      <c r="IT262" s="21"/>
      <c r="IU262" s="168">
        <v>1641332</v>
      </c>
      <c r="IV262" s="168">
        <v>1630326</v>
      </c>
      <c r="IW262" s="168">
        <v>1827528</v>
      </c>
      <c r="IX262" s="168">
        <v>1745356</v>
      </c>
      <c r="IY262" s="168">
        <v>-197760</v>
      </c>
      <c r="IZ262" s="168">
        <v>-114679</v>
      </c>
      <c r="JA262" s="21"/>
      <c r="JB262" s="21"/>
      <c r="JC262" s="21"/>
      <c r="JD262" s="21"/>
      <c r="JE262" s="21"/>
      <c r="JF262" s="21"/>
      <c r="JG262" s="21"/>
      <c r="JH262" s="21"/>
      <c r="JI262" s="168">
        <v>61835706</v>
      </c>
      <c r="JJ262" s="168">
        <v>61533497</v>
      </c>
      <c r="JK262" s="168">
        <v>202881</v>
      </c>
      <c r="JL262" s="168">
        <v>304556</v>
      </c>
      <c r="JM262" s="168">
        <v>63663234</v>
      </c>
      <c r="JN262" s="168">
        <v>63278853</v>
      </c>
      <c r="JO262" s="168">
        <v>5121</v>
      </c>
      <c r="JP262" s="168">
        <v>189877</v>
      </c>
      <c r="JQ262" s="21"/>
      <c r="JR262" s="21"/>
      <c r="JS262" s="21"/>
      <c r="JT262" s="21"/>
      <c r="JU262" s="21"/>
      <c r="JV262" s="21"/>
      <c r="JW262" s="168">
        <v>62952226</v>
      </c>
      <c r="JX262" s="168">
        <v>62607353</v>
      </c>
      <c r="JY262" s="21"/>
      <c r="JZ262" s="21"/>
      <c r="KA262" s="21"/>
      <c r="KB262" s="21"/>
      <c r="KC262" s="21"/>
      <c r="KD262" s="21"/>
      <c r="KE262" s="21"/>
      <c r="KF262" s="21"/>
      <c r="KG262" s="21"/>
      <c r="KH262" s="21"/>
      <c r="KI262" s="21"/>
      <c r="KJ262" s="21"/>
      <c r="KK262" s="21"/>
      <c r="KL262" s="21"/>
      <c r="KM262" s="21"/>
      <c r="KN262" s="21"/>
      <c r="KO262" s="21"/>
      <c r="KP262" s="21"/>
      <c r="KQ262" s="21"/>
      <c r="KR262" s="21"/>
      <c r="KS262" s="21"/>
      <c r="KT262" s="21"/>
      <c r="KU262" s="21"/>
      <c r="KV262" s="21"/>
      <c r="KW262" s="21"/>
      <c r="KX262" s="21"/>
      <c r="KY262" s="21"/>
      <c r="KZ262" s="21"/>
      <c r="LA262" s="168">
        <v>71000</v>
      </c>
      <c r="LB262" s="168">
        <v>71000</v>
      </c>
      <c r="LC262" s="21"/>
      <c r="LD262" s="21"/>
      <c r="LE262" s="21"/>
      <c r="LF262" s="21"/>
      <c r="LG262" s="21"/>
      <c r="LH262" s="21"/>
      <c r="LI262" s="21"/>
      <c r="LJ262" s="21"/>
      <c r="LK262" s="21"/>
      <c r="LL262" s="21"/>
      <c r="LM262" s="21"/>
      <c r="LN262" s="21"/>
      <c r="LO262" s="21"/>
      <c r="LP262" s="21"/>
      <c r="LQ262" s="21"/>
      <c r="LR262" s="21"/>
      <c r="LS262" s="21"/>
      <c r="LT262" s="21"/>
      <c r="LU262" s="21"/>
      <c r="LV262" s="21"/>
      <c r="LW262" s="21"/>
      <c r="LX262" s="21"/>
      <c r="LY262" s="21"/>
      <c r="LZ262" s="21"/>
      <c r="MA262" s="21"/>
      <c r="MB262" s="21"/>
      <c r="MC262" s="21"/>
      <c r="MD262" s="21"/>
      <c r="ME262" s="21"/>
      <c r="MF262" s="21"/>
      <c r="MG262" s="21"/>
      <c r="MH262" s="21"/>
      <c r="MI262" s="21"/>
      <c r="MJ262" s="21"/>
      <c r="MK262" s="21"/>
      <c r="ML262" s="21"/>
      <c r="MM262" s="21"/>
      <c r="MN262" s="21"/>
      <c r="MO262" s="21"/>
      <c r="MP262" s="21"/>
      <c r="MQ262" s="21"/>
      <c r="MR262" s="21"/>
      <c r="MS262" s="21"/>
      <c r="MT262" s="21"/>
      <c r="MU262" s="21"/>
      <c r="MV262" s="21"/>
      <c r="MW262" s="168">
        <v>1324575</v>
      </c>
      <c r="MX262" s="168">
        <v>1121077</v>
      </c>
      <c r="MY262" s="21"/>
      <c r="MZ262" s="21"/>
      <c r="NA262" s="21"/>
      <c r="NB262" s="21"/>
      <c r="NC262" s="168">
        <v>2252883</v>
      </c>
      <c r="ND262" s="168">
        <v>363250</v>
      </c>
      <c r="NE262" s="21"/>
      <c r="NF262" s="21"/>
      <c r="NG262" s="168">
        <v>3648458</v>
      </c>
      <c r="NH262" s="168">
        <v>1555327</v>
      </c>
      <c r="NI262" s="21"/>
      <c r="NJ262" s="21"/>
      <c r="NK262" s="168">
        <v>72287</v>
      </c>
      <c r="NL262" s="168">
        <v>59045</v>
      </c>
      <c r="NM262" s="168">
        <v>16078100</v>
      </c>
      <c r="NN262" s="168">
        <v>19211438</v>
      </c>
      <c r="NO262" s="168">
        <v>21478723</v>
      </c>
      <c r="NP262" s="168">
        <v>22149745</v>
      </c>
      <c r="NQ262" s="168" t="s">
        <v>1507</v>
      </c>
      <c r="NR262" s="168" t="s">
        <v>823</v>
      </c>
      <c r="NS262" s="168" t="s">
        <v>770</v>
      </c>
      <c r="NT262" s="168" t="s">
        <v>771</v>
      </c>
      <c r="NU262" s="168">
        <v>7102</v>
      </c>
      <c r="NV262" s="168" t="s">
        <v>2104</v>
      </c>
      <c r="NW262" s="168" t="s">
        <v>28</v>
      </c>
      <c r="NX262" s="168" t="s">
        <v>25</v>
      </c>
      <c r="NY262" s="169">
        <v>42794</v>
      </c>
      <c r="NZ262" s="169">
        <v>42429</v>
      </c>
      <c r="OA262" s="169">
        <v>43033</v>
      </c>
      <c r="OB262" s="168" t="s">
        <v>1508</v>
      </c>
      <c r="OC262" s="168">
        <v>12</v>
      </c>
      <c r="OD262" s="168" t="s">
        <v>2105</v>
      </c>
      <c r="OE262" s="168" t="s">
        <v>2236</v>
      </c>
      <c r="OF262" s="168" t="s">
        <v>2597</v>
      </c>
      <c r="OG262" s="168" t="s">
        <v>2058</v>
      </c>
      <c r="OH262" s="168" t="s">
        <v>818</v>
      </c>
      <c r="OI262" s="168" t="s">
        <v>766</v>
      </c>
      <c r="OJ262" s="168" t="s">
        <v>3240</v>
      </c>
      <c r="OK262" s="168" t="s">
        <v>822</v>
      </c>
    </row>
    <row r="263" spans="1:401" x14ac:dyDescent="0.2">
      <c r="A263" s="170" t="str">
        <f>Liste[[#This Row],[Siren]]</f>
        <v>789829033</v>
      </c>
      <c r="B263" s="198" t="str">
        <f>Liste[[#This Row],[Dénomination]]&amp;" - comptes "&amp;YEAR(Liste[[#This Row],[Date de cloture de l''exercice]])</f>
        <v>M.I.H. - comptes 2017</v>
      </c>
      <c r="C263" s="21"/>
      <c r="D263" s="21"/>
      <c r="E263" s="21"/>
      <c r="F263" s="168">
        <v>1308258</v>
      </c>
      <c r="G263" s="168">
        <v>1093808</v>
      </c>
      <c r="H263" s="168">
        <v>1308258</v>
      </c>
      <c r="I263" s="168">
        <v>1281685</v>
      </c>
      <c r="J263" s="168">
        <v>776463</v>
      </c>
      <c r="K263" s="168">
        <v>889218</v>
      </c>
      <c r="L263" s="168">
        <v>2058148</v>
      </c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168">
        <v>135383</v>
      </c>
      <c r="AM263" s="168">
        <v>8000</v>
      </c>
      <c r="AN263" s="168">
        <v>135383</v>
      </c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168">
        <v>309935</v>
      </c>
      <c r="BA263" s="168">
        <v>232034</v>
      </c>
      <c r="BB263" s="168">
        <v>309935</v>
      </c>
      <c r="BC263" s="168">
        <v>390080</v>
      </c>
      <c r="BD263" s="168">
        <v>1446612</v>
      </c>
      <c r="BE263" s="168">
        <v>1920944</v>
      </c>
      <c r="BF263" s="168">
        <v>1836692</v>
      </c>
      <c r="BG263" s="168">
        <v>148835</v>
      </c>
      <c r="BH263" s="168">
        <v>115968</v>
      </c>
      <c r="BI263" s="168">
        <v>115968</v>
      </c>
      <c r="BJ263" s="168">
        <v>264803</v>
      </c>
      <c r="BK263" s="21"/>
      <c r="BL263" s="21"/>
      <c r="BM263" s="21"/>
      <c r="BN263" s="21"/>
      <c r="BO263" s="21"/>
      <c r="BP263" s="168">
        <v>21000</v>
      </c>
      <c r="BQ263" s="168">
        <v>6920</v>
      </c>
      <c r="BR263" s="168">
        <v>21000</v>
      </c>
      <c r="BS263" s="21"/>
      <c r="BT263" s="21"/>
      <c r="BU263" s="21"/>
      <c r="BV263" s="21"/>
      <c r="BW263" s="21"/>
      <c r="BX263" s="168">
        <v>3734865</v>
      </c>
      <c r="BY263" s="168">
        <v>1197638</v>
      </c>
      <c r="BZ263" s="168">
        <v>3734865</v>
      </c>
      <c r="CA263" s="21"/>
      <c r="CB263" s="21"/>
      <c r="CC263" s="21"/>
      <c r="CD263" s="168">
        <v>984000</v>
      </c>
      <c r="CE263" s="168">
        <v>1383000</v>
      </c>
      <c r="CF263" s="168">
        <v>1620000</v>
      </c>
      <c r="CG263" s="168">
        <v>2367000</v>
      </c>
      <c r="CH263" s="21"/>
      <c r="CI263" s="168">
        <v>55608</v>
      </c>
      <c r="CJ263" s="21"/>
      <c r="CK263" s="168">
        <v>55608</v>
      </c>
      <c r="CL263" s="21"/>
      <c r="CM263" s="21"/>
      <c r="CN263" s="21"/>
      <c r="CO263" s="21"/>
      <c r="CP263" s="168">
        <v>181567</v>
      </c>
      <c r="CQ263" s="168">
        <v>262000</v>
      </c>
      <c r="CR263" s="168">
        <v>305980</v>
      </c>
      <c r="CS263" s="168">
        <v>443567</v>
      </c>
      <c r="CT263" s="21"/>
      <c r="CU263" s="21"/>
      <c r="CV263" s="21"/>
      <c r="CW263" s="21"/>
      <c r="CX263" s="168">
        <v>15369</v>
      </c>
      <c r="CY263" s="21"/>
      <c r="CZ263" s="21"/>
      <c r="DA263" s="168">
        <v>15369</v>
      </c>
      <c r="DB263" s="21"/>
      <c r="DC263" s="168">
        <v>34086</v>
      </c>
      <c r="DD263" s="168">
        <v>51532</v>
      </c>
      <c r="DE263" s="168">
        <v>34086</v>
      </c>
      <c r="DF263" s="168">
        <v>169260</v>
      </c>
      <c r="DG263" s="168">
        <v>1040</v>
      </c>
      <c r="DH263" s="168">
        <v>1545</v>
      </c>
      <c r="DI263" s="168">
        <v>170300</v>
      </c>
      <c r="DJ263" s="168">
        <v>1000077</v>
      </c>
      <c r="DK263" s="168">
        <v>5930219</v>
      </c>
      <c r="DL263" s="168">
        <v>9337886</v>
      </c>
      <c r="DM263" s="168">
        <v>6930296</v>
      </c>
      <c r="DN263" s="21"/>
      <c r="DO263" s="21"/>
      <c r="DP263" s="21"/>
      <c r="DQ263" s="21"/>
      <c r="DR263" s="21"/>
      <c r="DS263" s="21"/>
      <c r="DT263" s="21"/>
      <c r="DU263" s="21"/>
      <c r="DV263" s="21"/>
      <c r="DW263" s="168">
        <v>3000</v>
      </c>
      <c r="DX263" s="168">
        <v>14000</v>
      </c>
      <c r="DY263" s="168">
        <v>3000</v>
      </c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168">
        <v>2978921</v>
      </c>
      <c r="EL263" s="168">
        <v>4791570</v>
      </c>
      <c r="EM263" s="168">
        <v>4830190</v>
      </c>
      <c r="EN263" s="168">
        <v>7770491</v>
      </c>
      <c r="EO263" s="168">
        <v>1391485</v>
      </c>
      <c r="EP263" s="168">
        <v>13644592</v>
      </c>
      <c r="EQ263" s="168">
        <v>14627465</v>
      </c>
      <c r="ER263" s="168">
        <v>15036077</v>
      </c>
      <c r="ES263" s="168">
        <v>4370406</v>
      </c>
      <c r="ET263" s="168">
        <v>18600118</v>
      </c>
      <c r="EU263" s="168">
        <v>19773239</v>
      </c>
      <c r="EV263" s="168">
        <v>22970524</v>
      </c>
      <c r="EW263" s="168">
        <v>81080</v>
      </c>
      <c r="EX263" s="168">
        <v>130621</v>
      </c>
      <c r="EY263" s="168">
        <v>140979</v>
      </c>
      <c r="EZ263" s="168">
        <v>211701</v>
      </c>
      <c r="FA263" s="21"/>
      <c r="FB263" s="21"/>
      <c r="FC263" s="21"/>
      <c r="FD263" s="21"/>
      <c r="FE263" s="168">
        <v>1328</v>
      </c>
      <c r="FF263" s="168">
        <v>341433</v>
      </c>
      <c r="FG263" s="168">
        <v>342435</v>
      </c>
      <c r="FH263" s="168">
        <v>342761</v>
      </c>
      <c r="FI263" s="168">
        <v>-247170</v>
      </c>
      <c r="FJ263" s="168">
        <v>99622</v>
      </c>
      <c r="FK263" s="21"/>
      <c r="FL263" s="21"/>
      <c r="FM263" s="168">
        <v>180490</v>
      </c>
      <c r="FN263" s="168">
        <v>33614</v>
      </c>
      <c r="FO263" s="21"/>
      <c r="FP263" s="21"/>
      <c r="FQ263" s="168">
        <v>-237000</v>
      </c>
      <c r="FR263" s="168">
        <v>-237000</v>
      </c>
      <c r="FS263" s="168">
        <v>14000</v>
      </c>
      <c r="FT263" s="21"/>
      <c r="FU263" s="168">
        <v>36000</v>
      </c>
      <c r="FV263" s="168">
        <v>-31000</v>
      </c>
      <c r="FW263" s="168">
        <v>839768</v>
      </c>
      <c r="FX263" s="168">
        <v>397094</v>
      </c>
      <c r="FY263" s="21"/>
      <c r="FZ263" s="21"/>
      <c r="GA263" s="21"/>
      <c r="GB263" s="21"/>
      <c r="GC263" s="168">
        <v>9092</v>
      </c>
      <c r="GD263" s="168">
        <v>166381</v>
      </c>
      <c r="GE263" s="21"/>
      <c r="GF263" s="21"/>
      <c r="GG263" s="21"/>
      <c r="GH263" s="21"/>
      <c r="GI263" s="21"/>
      <c r="GJ263" s="21"/>
      <c r="GK263" s="21"/>
      <c r="GL263" s="21"/>
      <c r="GM263" s="168">
        <v>1729773</v>
      </c>
      <c r="GN263" s="168">
        <v>53049</v>
      </c>
      <c r="GO263" s="168">
        <v>1966773</v>
      </c>
      <c r="GP263" s="168">
        <v>290049</v>
      </c>
      <c r="GQ263" s="21"/>
      <c r="GR263" s="21"/>
      <c r="GS263" s="21"/>
      <c r="GT263" s="21"/>
      <c r="GU263" s="168">
        <v>261168</v>
      </c>
      <c r="GV263" s="168">
        <v>66759</v>
      </c>
      <c r="GW263" s="168">
        <v>13998</v>
      </c>
      <c r="GX263" s="168">
        <v>166381</v>
      </c>
      <c r="GY263" s="168">
        <v>14341240</v>
      </c>
      <c r="GZ263" s="168">
        <v>24211227</v>
      </c>
      <c r="HA263" s="168">
        <v>97474</v>
      </c>
      <c r="HB263" s="168">
        <v>29489</v>
      </c>
      <c r="HC263" s="168">
        <v>8048137</v>
      </c>
      <c r="HD263" s="168">
        <v>10752983</v>
      </c>
      <c r="HE263" s="168">
        <v>220442</v>
      </c>
      <c r="HF263" s="168">
        <v>44283</v>
      </c>
      <c r="HG263" s="168">
        <v>319</v>
      </c>
      <c r="HH263" s="168">
        <v>18257</v>
      </c>
      <c r="HI263" s="168">
        <v>23692</v>
      </c>
      <c r="HJ263" s="168">
        <v>71137</v>
      </c>
      <c r="HK263" s="21"/>
      <c r="HL263" s="21"/>
      <c r="HM263" s="21"/>
      <c r="HN263" s="21"/>
      <c r="HO263" s="168">
        <v>679102</v>
      </c>
      <c r="HP263" s="168">
        <v>815554</v>
      </c>
      <c r="HQ263" s="21"/>
      <c r="HR263" s="21"/>
      <c r="HS263" s="21"/>
      <c r="HT263" s="21"/>
      <c r="HU263" s="168">
        <v>201677</v>
      </c>
      <c r="HV263" s="168">
        <v>211637</v>
      </c>
      <c r="HW263" s="21"/>
      <c r="HX263" s="21"/>
      <c r="HY263" s="168">
        <v>1036479</v>
      </c>
      <c r="HZ263" s="168">
        <v>500000</v>
      </c>
      <c r="IA263" s="168">
        <v>1083128</v>
      </c>
      <c r="IB263" s="168">
        <v>803440</v>
      </c>
      <c r="IC263" s="21"/>
      <c r="ID263" s="21"/>
      <c r="IE263" s="168">
        <v>95046</v>
      </c>
      <c r="IF263" s="168">
        <v>124242</v>
      </c>
      <c r="IG263" s="168">
        <v>83750</v>
      </c>
      <c r="IH263" s="168">
        <v>135679</v>
      </c>
      <c r="II263" s="21"/>
      <c r="IJ263" s="21"/>
      <c r="IK263" s="21"/>
      <c r="IL263" s="21"/>
      <c r="IM263" s="21"/>
      <c r="IN263" s="21"/>
      <c r="IO263" s="21"/>
      <c r="IP263" s="21"/>
      <c r="IQ263" s="21"/>
      <c r="IR263" s="21"/>
      <c r="IS263" s="21"/>
      <c r="IT263" s="21"/>
      <c r="IU263" s="168">
        <v>3089711</v>
      </c>
      <c r="IV263" s="168">
        <v>556521</v>
      </c>
      <c r="IW263" s="168">
        <v>2864776</v>
      </c>
      <c r="IX263" s="168">
        <v>800455</v>
      </c>
      <c r="IY263" s="168">
        <v>224935</v>
      </c>
      <c r="IZ263" s="168">
        <v>-243934</v>
      </c>
      <c r="JA263" s="168">
        <v>1313936</v>
      </c>
      <c r="JB263" s="168">
        <v>825982</v>
      </c>
      <c r="JC263" s="21"/>
      <c r="JD263" s="21"/>
      <c r="JE263" s="168">
        <v>2469109</v>
      </c>
      <c r="JF263" s="168">
        <v>2720596</v>
      </c>
      <c r="JG263" s="21"/>
      <c r="JH263" s="21"/>
      <c r="JI263" s="168">
        <v>31419466</v>
      </c>
      <c r="JJ263" s="168">
        <v>40029835</v>
      </c>
      <c r="JK263" s="168">
        <v>501983</v>
      </c>
      <c r="JL263" s="168">
        <v>1519976</v>
      </c>
      <c r="JM263" s="168">
        <v>34284242</v>
      </c>
      <c r="JN263" s="168">
        <v>40830290</v>
      </c>
      <c r="JO263" s="168">
        <v>726918</v>
      </c>
      <c r="JP263" s="168">
        <v>1276042</v>
      </c>
      <c r="JQ263" s="168">
        <v>3203240</v>
      </c>
      <c r="JR263" s="168">
        <v>-183616</v>
      </c>
      <c r="JS263" s="168">
        <v>-55608</v>
      </c>
      <c r="JT263" s="21"/>
      <c r="JU263" s="21"/>
      <c r="JV263" s="21"/>
      <c r="JW263" s="168">
        <v>32946614</v>
      </c>
      <c r="JX263" s="168">
        <v>39933171</v>
      </c>
      <c r="JY263" s="21"/>
      <c r="JZ263" s="21"/>
      <c r="KA263" s="21"/>
      <c r="KB263" s="21"/>
      <c r="KC263" s="21"/>
      <c r="KD263" s="21"/>
      <c r="KE263" s="21"/>
      <c r="KF263" s="21"/>
      <c r="KG263" s="21"/>
      <c r="KH263" s="21"/>
      <c r="KI263" s="168">
        <v>32445572</v>
      </c>
      <c r="KJ263" s="168">
        <v>39468943</v>
      </c>
      <c r="KK263" s="168">
        <v>33632</v>
      </c>
      <c r="KL263" s="168">
        <v>186396</v>
      </c>
      <c r="KM263" s="21"/>
      <c r="KN263" s="21"/>
      <c r="KO263" s="21"/>
      <c r="KP263" s="21"/>
      <c r="KQ263" s="168">
        <v>14804</v>
      </c>
      <c r="KR263" s="168">
        <v>43972</v>
      </c>
      <c r="KS263" s="21"/>
      <c r="KT263" s="21"/>
      <c r="KU263" s="168">
        <v>311838</v>
      </c>
      <c r="KV263" s="168">
        <v>483266</v>
      </c>
      <c r="KW263" s="21"/>
      <c r="KX263" s="21"/>
      <c r="KY263" s="21"/>
      <c r="KZ263" s="21"/>
      <c r="LA263" s="168">
        <v>3721610</v>
      </c>
      <c r="LB263" s="168">
        <v>3721610</v>
      </c>
      <c r="LC263" s="168">
        <v>2128000</v>
      </c>
      <c r="LD263" s="168">
        <v>2153000</v>
      </c>
      <c r="LE263" s="168">
        <v>587000</v>
      </c>
      <c r="LF263" s="168">
        <v>111000</v>
      </c>
      <c r="LG263" s="21"/>
      <c r="LH263" s="21"/>
      <c r="LI263" s="168">
        <v>1029637</v>
      </c>
      <c r="LJ263" s="168">
        <v>1138502</v>
      </c>
      <c r="LK263" s="168">
        <v>3850388</v>
      </c>
      <c r="LL263" s="168">
        <v>5023253</v>
      </c>
      <c r="LM263" s="21"/>
      <c r="LN263" s="21"/>
      <c r="LO263" s="21"/>
      <c r="LP263" s="21"/>
      <c r="LQ263" s="21"/>
      <c r="LR263" s="21"/>
      <c r="LS263" s="21"/>
      <c r="LT263" s="21"/>
      <c r="LU263" s="21"/>
      <c r="LV263" s="21"/>
      <c r="LW263" s="21"/>
      <c r="LX263" s="21"/>
      <c r="LY263" s="21"/>
      <c r="LZ263" s="21"/>
      <c r="MA263" s="21"/>
      <c r="MB263" s="21"/>
      <c r="MC263" s="168">
        <v>1786765</v>
      </c>
      <c r="MD263" s="168">
        <v>1321644</v>
      </c>
      <c r="ME263" s="21"/>
      <c r="MF263" s="21"/>
      <c r="MG263" s="21"/>
      <c r="MH263" s="21"/>
      <c r="MI263" s="21"/>
      <c r="MJ263" s="21"/>
      <c r="MK263" s="21"/>
      <c r="ML263" s="21"/>
      <c r="MM263" s="21"/>
      <c r="MN263" s="21"/>
      <c r="MO263" s="21"/>
      <c r="MP263" s="21"/>
      <c r="MQ263" s="21"/>
      <c r="MR263" s="21"/>
      <c r="MS263" s="21"/>
      <c r="MT263" s="21"/>
      <c r="MU263" s="21"/>
      <c r="MV263" s="168">
        <v>370653</v>
      </c>
      <c r="MW263" s="168">
        <v>44944</v>
      </c>
      <c r="MX263" s="168">
        <v>44944</v>
      </c>
      <c r="MY263" s="21"/>
      <c r="MZ263" s="21"/>
      <c r="NA263" s="21"/>
      <c r="NB263" s="21"/>
      <c r="NC263" s="168">
        <v>1142773</v>
      </c>
      <c r="ND263" s="168">
        <v>-57951</v>
      </c>
      <c r="NE263" s="21"/>
      <c r="NF263" s="21"/>
      <c r="NG263" s="168">
        <v>6003027</v>
      </c>
      <c r="NH263" s="168">
        <v>5060512</v>
      </c>
      <c r="NI263" s="21"/>
      <c r="NJ263" s="21"/>
      <c r="NK263" s="168">
        <v>2715000</v>
      </c>
      <c r="NL263" s="168">
        <v>2264000</v>
      </c>
      <c r="NM263" s="168">
        <v>8253659</v>
      </c>
      <c r="NN263" s="168">
        <v>11464682</v>
      </c>
      <c r="NO263" s="168">
        <v>18600118</v>
      </c>
      <c r="NP263" s="168">
        <v>19773239</v>
      </c>
      <c r="NQ263" s="168" t="s">
        <v>842</v>
      </c>
      <c r="NR263" s="168" t="s">
        <v>769</v>
      </c>
      <c r="NS263" s="168" t="s">
        <v>770</v>
      </c>
      <c r="NT263" s="168" t="s">
        <v>771</v>
      </c>
      <c r="NU263" s="168">
        <v>605</v>
      </c>
      <c r="NV263" s="168" t="s">
        <v>2104</v>
      </c>
      <c r="NW263" s="168" t="s">
        <v>28</v>
      </c>
      <c r="NX263" s="168" t="s">
        <v>25</v>
      </c>
      <c r="NY263" s="169">
        <v>42794</v>
      </c>
      <c r="NZ263" s="169">
        <v>42429</v>
      </c>
      <c r="OA263" s="169">
        <v>42983</v>
      </c>
      <c r="OB263" s="168" t="s">
        <v>971</v>
      </c>
      <c r="OC263" s="168">
        <v>12</v>
      </c>
      <c r="OD263" s="168" t="s">
        <v>2105</v>
      </c>
      <c r="OE263" s="168" t="s">
        <v>2199</v>
      </c>
      <c r="OF263" s="168" t="s">
        <v>2200</v>
      </c>
      <c r="OG263" s="168" t="s">
        <v>1839</v>
      </c>
      <c r="OH263" s="168" t="s">
        <v>841</v>
      </c>
      <c r="OI263" s="168" t="s">
        <v>766</v>
      </c>
      <c r="OJ263" s="168" t="s">
        <v>3240</v>
      </c>
      <c r="OK263" s="168" t="s">
        <v>767</v>
      </c>
    </row>
    <row r="264" spans="1:401" x14ac:dyDescent="0.2">
      <c r="A264" s="170" t="str">
        <f>Liste[[#This Row],[Siren]]</f>
        <v>530161306</v>
      </c>
      <c r="B264" s="198" t="str">
        <f>Liste[[#This Row],[Dénomination]]&amp;" - comptes "&amp;YEAR(Liste[[#This Row],[Date de cloture de l''exercice]])</f>
        <v>STPA HOLDING - comptes 2017</v>
      </c>
      <c r="C264" s="21"/>
      <c r="D264" s="21"/>
      <c r="E264" s="21"/>
      <c r="F264" s="168">
        <v>737000</v>
      </c>
      <c r="G264" s="168">
        <v>473000</v>
      </c>
      <c r="H264" s="168">
        <v>737000</v>
      </c>
      <c r="I264" s="168">
        <v>1140000</v>
      </c>
      <c r="J264" s="168">
        <v>500000</v>
      </c>
      <c r="K264" s="168">
        <v>507000</v>
      </c>
      <c r="L264" s="168">
        <v>1640000</v>
      </c>
      <c r="M264" s="21"/>
      <c r="N264" s="168">
        <v>121000</v>
      </c>
      <c r="O264" s="168">
        <v>83000</v>
      </c>
      <c r="P264" s="168">
        <v>121000</v>
      </c>
      <c r="Q264" s="168">
        <v>68000</v>
      </c>
      <c r="R264" s="168">
        <v>-25000</v>
      </c>
      <c r="S264" s="168">
        <v>6000</v>
      </c>
      <c r="T264" s="168">
        <v>43000</v>
      </c>
      <c r="U264" s="21"/>
      <c r="V264" s="21"/>
      <c r="W264" s="21"/>
      <c r="X264" s="21"/>
      <c r="Y264" s="21"/>
      <c r="Z264" s="168">
        <v>15000</v>
      </c>
      <c r="AA264" s="21"/>
      <c r="AB264" s="168">
        <v>15000</v>
      </c>
      <c r="AC264" s="21"/>
      <c r="AD264" s="21"/>
      <c r="AE264" s="21"/>
      <c r="AF264" s="21"/>
      <c r="AG264" s="21"/>
      <c r="AH264" s="21"/>
      <c r="AI264" s="21"/>
      <c r="AJ264" s="21"/>
      <c r="AK264" s="21"/>
      <c r="AL264" s="168">
        <v>39000</v>
      </c>
      <c r="AM264" s="168">
        <v>27000</v>
      </c>
      <c r="AN264" s="168">
        <v>39000</v>
      </c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168">
        <v>97</v>
      </c>
      <c r="BA264" s="168">
        <v>111</v>
      </c>
      <c r="BB264" s="168">
        <v>971</v>
      </c>
      <c r="BC264" s="21"/>
      <c r="BD264" s="168">
        <v>382000</v>
      </c>
      <c r="BE264" s="168">
        <v>595000</v>
      </c>
      <c r="BF264" s="168">
        <v>401000</v>
      </c>
      <c r="BG264" s="21"/>
      <c r="BH264" s="168">
        <v>29000</v>
      </c>
      <c r="BI264" s="168">
        <v>29000</v>
      </c>
      <c r="BJ264" s="168">
        <v>29000</v>
      </c>
      <c r="BK264" s="168">
        <v>6598000</v>
      </c>
      <c r="BL264" s="168">
        <v>10884000</v>
      </c>
      <c r="BM264" s="168">
        <v>9542000</v>
      </c>
      <c r="BN264" s="168">
        <v>17482000</v>
      </c>
      <c r="BO264" s="21"/>
      <c r="BP264" s="21"/>
      <c r="BQ264" s="21"/>
      <c r="BR264" s="21"/>
      <c r="BS264" s="21"/>
      <c r="BT264" s="21"/>
      <c r="BU264" s="21"/>
      <c r="BV264" s="21"/>
      <c r="BW264" s="21"/>
      <c r="BX264" s="168">
        <v>1918000</v>
      </c>
      <c r="BY264" s="168">
        <v>1610000</v>
      </c>
      <c r="BZ264" s="168">
        <v>1918000</v>
      </c>
      <c r="CA264" s="21"/>
      <c r="CB264" s="21"/>
      <c r="CC264" s="21"/>
      <c r="CD264" s="21"/>
      <c r="CE264" s="21"/>
      <c r="CF264" s="21"/>
      <c r="CG264" s="21"/>
      <c r="CH264" s="21"/>
      <c r="CI264" s="21"/>
      <c r="CJ264" s="21"/>
      <c r="CK264" s="21"/>
      <c r="CL264" s="21"/>
      <c r="CM264" s="21"/>
      <c r="CN264" s="21"/>
      <c r="CO264" s="21"/>
      <c r="CP264" s="21"/>
      <c r="CQ264" s="21"/>
      <c r="CR264" s="21"/>
      <c r="CS264" s="21"/>
      <c r="CT264" s="21"/>
      <c r="CU264" s="21"/>
      <c r="CV264" s="21"/>
      <c r="CW264" s="21"/>
      <c r="CX264" s="21"/>
      <c r="CY264" s="21"/>
      <c r="CZ264" s="21"/>
      <c r="DA264" s="21"/>
      <c r="DB264" s="21"/>
      <c r="DC264" s="21"/>
      <c r="DD264" s="21"/>
      <c r="DE264" s="21"/>
      <c r="DF264" s="168">
        <v>5954000</v>
      </c>
      <c r="DG264" s="168">
        <v>921000</v>
      </c>
      <c r="DH264" s="168">
        <v>1150000</v>
      </c>
      <c r="DI264" s="168">
        <v>3328000</v>
      </c>
      <c r="DJ264" s="168">
        <v>101000</v>
      </c>
      <c r="DK264" s="168">
        <v>2184000</v>
      </c>
      <c r="DL264" s="168">
        <v>2089000</v>
      </c>
      <c r="DM264" s="168">
        <v>2284000</v>
      </c>
      <c r="DN264" s="21"/>
      <c r="DO264" s="168">
        <v>13000</v>
      </c>
      <c r="DP264" s="168">
        <v>13000</v>
      </c>
      <c r="DQ264" s="168">
        <v>13000</v>
      </c>
      <c r="DR264" s="21"/>
      <c r="DS264" s="21"/>
      <c r="DT264" s="21"/>
      <c r="DU264" s="21"/>
      <c r="DV264" s="21"/>
      <c r="DW264" s="21"/>
      <c r="DX264" s="21"/>
      <c r="DY264" s="21"/>
      <c r="DZ264" s="21"/>
      <c r="EA264" s="21"/>
      <c r="EB264" s="21"/>
      <c r="EC264" s="21"/>
      <c r="ED264" s="21"/>
      <c r="EE264" s="21"/>
      <c r="EF264" s="21"/>
      <c r="EG264" s="21"/>
      <c r="EH264" s="21"/>
      <c r="EI264" s="21"/>
      <c r="EJ264" s="21"/>
      <c r="EK264" s="168">
        <v>13093000</v>
      </c>
      <c r="EL264" s="168">
        <v>19850000</v>
      </c>
      <c r="EM264" s="168">
        <v>18758000</v>
      </c>
      <c r="EN264" s="168">
        <v>32944000</v>
      </c>
      <c r="EO264" s="168">
        <v>120</v>
      </c>
      <c r="EP264" s="168">
        <v>7727</v>
      </c>
      <c r="EQ264" s="168">
        <v>7375</v>
      </c>
      <c r="ER264" s="168">
        <v>7846</v>
      </c>
      <c r="ES264" s="168">
        <v>13213</v>
      </c>
      <c r="ET264" s="168">
        <v>27577</v>
      </c>
      <c r="EU264" s="168">
        <v>26133</v>
      </c>
      <c r="EV264" s="168">
        <v>40790</v>
      </c>
      <c r="EW264" s="168">
        <v>261000</v>
      </c>
      <c r="EX264" s="168">
        <v>1713000</v>
      </c>
      <c r="EY264" s="168">
        <v>1429000</v>
      </c>
      <c r="EZ264" s="168">
        <v>1973000</v>
      </c>
      <c r="FA264" s="21"/>
      <c r="FB264" s="21"/>
      <c r="FC264" s="21"/>
      <c r="FD264" s="21"/>
      <c r="FE264" s="21"/>
      <c r="FF264" s="168">
        <v>2358000</v>
      </c>
      <c r="FG264" s="168">
        <v>2458000</v>
      </c>
      <c r="FH264" s="168">
        <v>2358000</v>
      </c>
      <c r="FI264" s="168">
        <v>32000</v>
      </c>
      <c r="FJ264" s="168">
        <v>-26000</v>
      </c>
      <c r="FK264" s="21"/>
      <c r="FL264" s="21"/>
      <c r="FM264" s="21"/>
      <c r="FN264" s="21"/>
      <c r="FO264" s="21"/>
      <c r="FP264" s="21"/>
      <c r="FQ264" s="168">
        <v>385000</v>
      </c>
      <c r="FR264" s="168">
        <v>385000</v>
      </c>
      <c r="FS264" s="21"/>
      <c r="FT264" s="21"/>
      <c r="FU264" s="21"/>
      <c r="FV264" s="21"/>
      <c r="FW264" s="168">
        <v>492000</v>
      </c>
      <c r="FX264" s="168">
        <v>458000</v>
      </c>
      <c r="FY264" s="168">
        <v>1000</v>
      </c>
      <c r="FZ264" s="168">
        <v>1000</v>
      </c>
      <c r="GA264" s="21"/>
      <c r="GB264" s="21"/>
      <c r="GC264" s="21"/>
      <c r="GD264" s="21"/>
      <c r="GE264" s="21"/>
      <c r="GF264" s="21"/>
      <c r="GG264" s="21"/>
      <c r="GH264" s="21"/>
      <c r="GI264" s="21"/>
      <c r="GJ264" s="21"/>
      <c r="GK264" s="21"/>
      <c r="GL264" s="21"/>
      <c r="GM264" s="168">
        <v>637000</v>
      </c>
      <c r="GN264" s="168">
        <v>700000</v>
      </c>
      <c r="GO264" s="21"/>
      <c r="GP264" s="21"/>
      <c r="GQ264" s="21"/>
      <c r="GR264" s="21"/>
      <c r="GS264" s="168">
        <v>636000</v>
      </c>
      <c r="GT264" s="168">
        <v>700000</v>
      </c>
      <c r="GU264" s="21"/>
      <c r="GV264" s="21"/>
      <c r="GW264" s="21"/>
      <c r="GX264" s="21"/>
      <c r="GY264" s="168">
        <v>33069000</v>
      </c>
      <c r="GZ264" s="168">
        <v>30946000</v>
      </c>
      <c r="HA264" s="21"/>
      <c r="HB264" s="21"/>
      <c r="HC264" s="168">
        <v>3642000</v>
      </c>
      <c r="HD264" s="168">
        <v>3545000</v>
      </c>
      <c r="HE264" s="21"/>
      <c r="HF264" s="21"/>
      <c r="HG264" s="21"/>
      <c r="HH264" s="21"/>
      <c r="HI264" s="168">
        <v>8000</v>
      </c>
      <c r="HJ264" s="168">
        <v>6000</v>
      </c>
      <c r="HK264" s="21"/>
      <c r="HL264" s="21"/>
      <c r="HM264" s="21"/>
      <c r="HN264" s="21"/>
      <c r="HO264" s="168">
        <v>3894000</v>
      </c>
      <c r="HP264" s="168">
        <v>3705000</v>
      </c>
      <c r="HQ264" s="21"/>
      <c r="HR264" s="21"/>
      <c r="HS264" s="21"/>
      <c r="HT264" s="21"/>
      <c r="HU264" s="168">
        <v>1405000</v>
      </c>
      <c r="HV264" s="168">
        <v>1221000</v>
      </c>
      <c r="HW264" s="168">
        <v>42000</v>
      </c>
      <c r="HX264" s="168">
        <v>99000</v>
      </c>
      <c r="HY264" s="21"/>
      <c r="HZ264" s="21"/>
      <c r="IA264" s="21"/>
      <c r="IB264" s="21"/>
      <c r="IC264" s="21"/>
      <c r="ID264" s="21"/>
      <c r="IE264" s="168">
        <v>759000</v>
      </c>
      <c r="IF264" s="168">
        <v>707000</v>
      </c>
      <c r="IG264" s="21"/>
      <c r="IH264" s="21"/>
      <c r="II264" s="21"/>
      <c r="IJ264" s="21"/>
      <c r="IK264" s="21"/>
      <c r="IL264" s="21"/>
      <c r="IM264" s="21"/>
      <c r="IN264" s="21"/>
      <c r="IO264" s="21"/>
      <c r="IP264" s="21"/>
      <c r="IQ264" s="21"/>
      <c r="IR264" s="21"/>
      <c r="IS264" s="21"/>
      <c r="IT264" s="21"/>
      <c r="IU264" s="168">
        <v>1483000</v>
      </c>
      <c r="IV264" s="168">
        <v>1570000</v>
      </c>
      <c r="IW264" s="168">
        <v>2170000</v>
      </c>
      <c r="IX264" s="168">
        <v>2070000</v>
      </c>
      <c r="IY264" s="168">
        <v>-687000</v>
      </c>
      <c r="IZ264" s="168">
        <v>-500000</v>
      </c>
      <c r="JA264" s="168">
        <v>97000</v>
      </c>
      <c r="JB264" s="168">
        <v>159000</v>
      </c>
      <c r="JC264" s="21"/>
      <c r="JD264" s="21"/>
      <c r="JE264" s="21"/>
      <c r="JF264" s="21"/>
      <c r="JG264" s="168">
        <v>12000</v>
      </c>
      <c r="JH264" s="168">
        <v>137000</v>
      </c>
      <c r="JI264" s="168">
        <v>42825000</v>
      </c>
      <c r="JJ264" s="168">
        <v>40140000</v>
      </c>
      <c r="JK264" s="168">
        <v>724000</v>
      </c>
      <c r="JL264" s="168">
        <v>538000</v>
      </c>
      <c r="JM264" s="168">
        <v>44995000</v>
      </c>
      <c r="JN264" s="168">
        <v>42210000</v>
      </c>
      <c r="JO264" s="168">
        <v>37000</v>
      </c>
      <c r="JP264" s="168">
        <v>38000</v>
      </c>
      <c r="JQ264" s="21"/>
      <c r="JR264" s="21"/>
      <c r="JS264" s="21"/>
      <c r="JT264" s="21"/>
      <c r="JU264" s="21"/>
      <c r="JV264" s="21"/>
      <c r="JW264" s="168">
        <v>44878000</v>
      </c>
      <c r="JX264" s="168">
        <v>41908000</v>
      </c>
      <c r="JY264" s="21"/>
      <c r="JZ264" s="21"/>
      <c r="KA264" s="21"/>
      <c r="KB264" s="21"/>
      <c r="KC264" s="21"/>
      <c r="KD264" s="21"/>
      <c r="KE264" s="21"/>
      <c r="KF264" s="21"/>
      <c r="KG264" s="21"/>
      <c r="KH264" s="21"/>
      <c r="KI264" s="21"/>
      <c r="KJ264" s="21"/>
      <c r="KK264" s="21"/>
      <c r="KL264" s="21"/>
      <c r="KM264" s="21"/>
      <c r="KN264" s="21"/>
      <c r="KO264" s="21"/>
      <c r="KP264" s="21"/>
      <c r="KQ264" s="168">
        <v>109000</v>
      </c>
      <c r="KR264" s="168">
        <v>235000</v>
      </c>
      <c r="KS264" s="21"/>
      <c r="KT264" s="21"/>
      <c r="KU264" s="21"/>
      <c r="KV264" s="21"/>
      <c r="KW264" s="21"/>
      <c r="KX264" s="21"/>
      <c r="KY264" s="21"/>
      <c r="KZ264" s="21"/>
      <c r="LA264" s="168">
        <v>1000</v>
      </c>
      <c r="LB264" s="168">
        <v>1000</v>
      </c>
      <c r="LC264" s="168">
        <v>19000</v>
      </c>
      <c r="LD264" s="168">
        <v>3000</v>
      </c>
      <c r="LE264" s="168">
        <v>1000</v>
      </c>
      <c r="LF264" s="168">
        <v>1000</v>
      </c>
      <c r="LG264" s="21"/>
      <c r="LH264" s="21"/>
      <c r="LI264" s="168">
        <v>1586000</v>
      </c>
      <c r="LJ264" s="168">
        <v>1587000</v>
      </c>
      <c r="LK264" s="168">
        <v>3111000</v>
      </c>
      <c r="LL264" s="168">
        <v>3186000</v>
      </c>
      <c r="LM264" s="168">
        <v>34000</v>
      </c>
      <c r="LN264" s="168">
        <v>94000</v>
      </c>
      <c r="LO264" s="21"/>
      <c r="LP264" s="21"/>
      <c r="LQ264" s="21"/>
      <c r="LR264" s="21"/>
      <c r="LS264" s="21"/>
      <c r="LT264" s="21"/>
      <c r="LU264" s="21"/>
      <c r="LV264" s="21"/>
      <c r="LW264" s="21"/>
      <c r="LX264" s="21"/>
      <c r="LY264" s="21"/>
      <c r="LZ264" s="21"/>
      <c r="MA264" s="168">
        <v>16427000</v>
      </c>
      <c r="MB264" s="168">
        <v>16098000</v>
      </c>
      <c r="MC264" s="168">
        <v>713000</v>
      </c>
      <c r="MD264" s="168">
        <v>596000</v>
      </c>
      <c r="ME264" s="21"/>
      <c r="MF264" s="21"/>
      <c r="MG264" s="168">
        <v>1446000</v>
      </c>
      <c r="MH264" s="168">
        <v>870000</v>
      </c>
      <c r="MI264" s="21"/>
      <c r="MJ264" s="21"/>
      <c r="MK264" s="21"/>
      <c r="ML264" s="21"/>
      <c r="MM264" s="168">
        <v>9000</v>
      </c>
      <c r="MN264" s="168">
        <v>6000</v>
      </c>
      <c r="MO264" s="21"/>
      <c r="MP264" s="21"/>
      <c r="MQ264" s="21"/>
      <c r="MR264" s="21"/>
      <c r="MS264" s="21"/>
      <c r="MT264" s="21"/>
      <c r="MU264" s="21"/>
      <c r="MV264" s="21"/>
      <c r="MW264" s="21"/>
      <c r="MX264" s="21"/>
      <c r="MY264" s="21"/>
      <c r="MZ264" s="21"/>
      <c r="NA264" s="21"/>
      <c r="NB264" s="21"/>
      <c r="NC264" s="168">
        <v>637000</v>
      </c>
      <c r="ND264" s="168">
        <v>700000</v>
      </c>
      <c r="NE264" s="21"/>
      <c r="NF264" s="21"/>
      <c r="NG264" s="168">
        <v>3934000</v>
      </c>
      <c r="NH264" s="168">
        <v>3282000</v>
      </c>
      <c r="NI264" s="21"/>
      <c r="NJ264" s="21"/>
      <c r="NK264" s="168">
        <v>20000</v>
      </c>
      <c r="NL264" s="168">
        <v>4000</v>
      </c>
      <c r="NM264" s="168">
        <v>21989000</v>
      </c>
      <c r="NN264" s="168">
        <v>21804000</v>
      </c>
      <c r="NO264" s="168">
        <v>27577000</v>
      </c>
      <c r="NP264" s="168">
        <v>26133000</v>
      </c>
      <c r="NQ264" s="168" t="s">
        <v>974</v>
      </c>
      <c r="NR264" s="168" t="s">
        <v>769</v>
      </c>
      <c r="NS264" s="168" t="s">
        <v>770</v>
      </c>
      <c r="NT264" s="168" t="s">
        <v>771</v>
      </c>
      <c r="NU264" s="168">
        <v>3801</v>
      </c>
      <c r="NV264" s="168" t="s">
        <v>2104</v>
      </c>
      <c r="NW264" s="168" t="s">
        <v>28</v>
      </c>
      <c r="NX264" s="168" t="s">
        <v>25</v>
      </c>
      <c r="NY264" s="169">
        <v>42794</v>
      </c>
      <c r="NZ264" s="169">
        <v>42428</v>
      </c>
      <c r="OA264" s="169">
        <v>42993</v>
      </c>
      <c r="OB264" s="168" t="s">
        <v>975</v>
      </c>
      <c r="OC264" s="168">
        <v>12</v>
      </c>
      <c r="OD264" s="168" t="s">
        <v>2106</v>
      </c>
      <c r="OE264" s="168" t="s">
        <v>976</v>
      </c>
      <c r="OF264" s="168" t="s">
        <v>2201</v>
      </c>
      <c r="OG264" s="168" t="s">
        <v>1840</v>
      </c>
      <c r="OH264" s="168" t="s">
        <v>833</v>
      </c>
      <c r="OI264" s="168" t="s">
        <v>766</v>
      </c>
      <c r="OJ264" s="168" t="s">
        <v>3240</v>
      </c>
      <c r="OK264" s="168" t="s">
        <v>767</v>
      </c>
    </row>
    <row r="265" spans="1:401" x14ac:dyDescent="0.2">
      <c r="A265" s="170" t="str">
        <f>Liste[[#This Row],[Siren]]</f>
        <v>429349822</v>
      </c>
      <c r="B265" s="198" t="str">
        <f>Liste[[#This Row],[Dénomination]]&amp;" - comptes "&amp;YEAR(Liste[[#This Row],[Date de cloture de l''exercice]])</f>
        <v>SARL GROUPE ROMET - comptes 2017</v>
      </c>
      <c r="C265" s="21"/>
      <c r="D265" s="21"/>
      <c r="E265" s="21"/>
      <c r="F265" s="168">
        <v>1964000</v>
      </c>
      <c r="G265" s="168">
        <v>1671000</v>
      </c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168">
        <v>7262000</v>
      </c>
      <c r="BE265" s="168">
        <v>6728000</v>
      </c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168">
        <v>736000</v>
      </c>
      <c r="BY265" s="168">
        <v>757000</v>
      </c>
      <c r="BZ265" s="21"/>
      <c r="CA265" s="21"/>
      <c r="CB265" s="21"/>
      <c r="CC265" s="21"/>
      <c r="CD265" s="21"/>
      <c r="CE265" s="168">
        <v>144000</v>
      </c>
      <c r="CF265" s="168">
        <v>144000</v>
      </c>
      <c r="CG265" s="21"/>
      <c r="CH265" s="21"/>
      <c r="CI265" s="21"/>
      <c r="CJ265" s="21"/>
      <c r="CK265" s="21"/>
      <c r="CL265" s="21"/>
      <c r="CM265" s="21"/>
      <c r="CN265" s="21"/>
      <c r="CO265" s="21"/>
      <c r="CP265" s="21"/>
      <c r="CQ265" s="21"/>
      <c r="CR265" s="21"/>
      <c r="CS265" s="21"/>
      <c r="CT265" s="21"/>
      <c r="CU265" s="21"/>
      <c r="CV265" s="21"/>
      <c r="CW265" s="21"/>
      <c r="CX265" s="21"/>
      <c r="CY265" s="21"/>
      <c r="CZ265" s="21"/>
      <c r="DA265" s="21"/>
      <c r="DB265" s="21"/>
      <c r="DC265" s="21"/>
      <c r="DD265" s="21"/>
      <c r="DE265" s="21"/>
      <c r="DF265" s="21"/>
      <c r="DG265" s="21"/>
      <c r="DH265" s="21"/>
      <c r="DI265" s="21"/>
      <c r="DJ265" s="21"/>
      <c r="DK265" s="21"/>
      <c r="DL265" s="21"/>
      <c r="DM265" s="21"/>
      <c r="DN265" s="21"/>
      <c r="DO265" s="21"/>
      <c r="DP265" s="21"/>
      <c r="DQ265" s="21"/>
      <c r="DR265" s="21"/>
      <c r="DS265" s="21"/>
      <c r="DT265" s="21"/>
      <c r="DU265" s="21"/>
      <c r="DV265" s="21"/>
      <c r="DW265" s="21"/>
      <c r="DX265" s="21"/>
      <c r="DY265" s="21"/>
      <c r="DZ265" s="21"/>
      <c r="EA265" s="21"/>
      <c r="EB265" s="21"/>
      <c r="EC265" s="21"/>
      <c r="ED265" s="21"/>
      <c r="EE265" s="21"/>
      <c r="EF265" s="21"/>
      <c r="EG265" s="21"/>
      <c r="EH265" s="21"/>
      <c r="EI265" s="21"/>
      <c r="EJ265" s="21"/>
      <c r="EK265" s="21"/>
      <c r="EL265" s="168">
        <v>4375000</v>
      </c>
      <c r="EM265" s="168">
        <v>4433000</v>
      </c>
      <c r="EN265" s="21"/>
      <c r="EO265" s="21"/>
      <c r="EP265" s="168">
        <v>23800000</v>
      </c>
      <c r="EQ265" s="168">
        <v>24057000</v>
      </c>
      <c r="ER265" s="21"/>
      <c r="ES265" s="21"/>
      <c r="ET265" s="168">
        <v>28175000</v>
      </c>
      <c r="EU265" s="168">
        <v>28490000</v>
      </c>
      <c r="EV265" s="21"/>
      <c r="EW265" s="21"/>
      <c r="EX265" s="21"/>
      <c r="EY265" s="21"/>
      <c r="EZ265" s="21"/>
      <c r="FA265" s="21"/>
      <c r="FB265" s="21"/>
      <c r="FC265" s="21"/>
      <c r="FD265" s="21"/>
      <c r="FE265" s="21"/>
      <c r="FF265" s="168">
        <v>736000</v>
      </c>
      <c r="FG265" s="168">
        <v>757000</v>
      </c>
      <c r="FH265" s="21"/>
      <c r="FI265" s="21"/>
      <c r="FJ265" s="21"/>
      <c r="FK265" s="21"/>
      <c r="FL265" s="21"/>
      <c r="FM265" s="21"/>
      <c r="FN265" s="21"/>
      <c r="FO265" s="21"/>
      <c r="FP265" s="21"/>
      <c r="FQ265" s="21"/>
      <c r="FR265" s="168">
        <v>-58000</v>
      </c>
      <c r="FS265" s="21"/>
      <c r="FT265" s="21"/>
      <c r="FU265" s="21"/>
      <c r="FV265" s="21"/>
      <c r="FW265" s="168">
        <v>182000</v>
      </c>
      <c r="FX265" s="168">
        <v>-110000</v>
      </c>
      <c r="FY265" s="168">
        <v>17000</v>
      </c>
      <c r="FZ265" s="168">
        <v>11000</v>
      </c>
      <c r="GA265" s="21"/>
      <c r="GB265" s="21"/>
      <c r="GC265" s="21"/>
      <c r="GD265" s="21"/>
      <c r="GE265" s="21"/>
      <c r="GF265" s="21"/>
      <c r="GG265" s="21"/>
      <c r="GH265" s="21"/>
      <c r="GI265" s="21"/>
      <c r="GJ265" s="21"/>
      <c r="GK265" s="21"/>
      <c r="GL265" s="21"/>
      <c r="GM265" s="168">
        <v>-73000</v>
      </c>
      <c r="GN265" s="168">
        <v>417000</v>
      </c>
      <c r="GO265" s="21"/>
      <c r="GP265" s="21"/>
      <c r="GQ265" s="21"/>
      <c r="GR265" s="21"/>
      <c r="GS265" s="168">
        <v>-90000</v>
      </c>
      <c r="GT265" s="168">
        <v>406000</v>
      </c>
      <c r="GU265" s="21"/>
      <c r="GV265" s="21"/>
      <c r="GW265" s="21"/>
      <c r="GX265" s="21"/>
      <c r="GY265" s="21"/>
      <c r="GZ265" s="21"/>
      <c r="HA265" s="21"/>
      <c r="HB265" s="21"/>
      <c r="HC265" s="21"/>
      <c r="HD265" s="21"/>
      <c r="HE265" s="168">
        <v>-12000</v>
      </c>
      <c r="HF265" s="168">
        <v>-16000</v>
      </c>
      <c r="HG265" s="21"/>
      <c r="HH265" s="21"/>
      <c r="HI265" s="168">
        <v>1755000</v>
      </c>
      <c r="HJ265" s="168">
        <v>1960000</v>
      </c>
      <c r="HK265" s="21"/>
      <c r="HL265" s="21"/>
      <c r="HM265" s="21"/>
      <c r="HN265" s="21"/>
      <c r="HO265" s="21"/>
      <c r="HP265" s="21"/>
      <c r="HQ265" s="21"/>
      <c r="HR265" s="21"/>
      <c r="HS265" s="21"/>
      <c r="HT265" s="21"/>
      <c r="HU265" s="21"/>
      <c r="HV265" s="21"/>
      <c r="HW265" s="21"/>
      <c r="HX265" s="21"/>
      <c r="HY265" s="21"/>
      <c r="HZ265" s="21"/>
      <c r="IA265" s="21"/>
      <c r="IB265" s="21"/>
      <c r="IC265" s="21"/>
      <c r="ID265" s="21"/>
      <c r="IE265" s="168">
        <v>-457000</v>
      </c>
      <c r="IF265" s="168">
        <v>-476000</v>
      </c>
      <c r="IG265" s="21"/>
      <c r="IH265" s="21"/>
      <c r="II265" s="21"/>
      <c r="IJ265" s="21"/>
      <c r="IK265" s="21"/>
      <c r="IL265" s="21"/>
      <c r="IM265" s="168">
        <v>170000</v>
      </c>
      <c r="IN265" s="168">
        <v>133000</v>
      </c>
      <c r="IO265" s="21"/>
      <c r="IP265" s="21"/>
      <c r="IQ265" s="21"/>
      <c r="IR265" s="21"/>
      <c r="IS265" s="21"/>
      <c r="IT265" s="21"/>
      <c r="IU265" s="168">
        <v>-254000</v>
      </c>
      <c r="IV265" s="168">
        <v>567000</v>
      </c>
      <c r="IW265" s="168">
        <v>-11000</v>
      </c>
      <c r="IX265" s="168">
        <v>772000</v>
      </c>
      <c r="IY265" s="21"/>
      <c r="IZ265" s="21"/>
      <c r="JA265" s="21"/>
      <c r="JB265" s="21"/>
      <c r="JC265" s="21"/>
      <c r="JD265" s="21"/>
      <c r="JE265" s="21"/>
      <c r="JF265" s="21"/>
      <c r="JG265" s="21"/>
      <c r="JH265" s="21"/>
      <c r="JI265" s="21"/>
      <c r="JJ265" s="21"/>
      <c r="JK265" s="21"/>
      <c r="JL265" s="21"/>
      <c r="JM265" s="21"/>
      <c r="JN265" s="21"/>
      <c r="JO265" s="21"/>
      <c r="JP265" s="21"/>
      <c r="JQ265" s="21"/>
      <c r="JR265" s="21"/>
      <c r="JS265" s="21"/>
      <c r="JT265" s="21"/>
      <c r="JU265" s="21"/>
      <c r="JV265" s="21"/>
      <c r="JW265" s="168">
        <v>43936000</v>
      </c>
      <c r="JX265" s="168">
        <v>47923000</v>
      </c>
      <c r="JY265" s="21"/>
      <c r="JZ265" s="21"/>
      <c r="KA265" s="21"/>
      <c r="KB265" s="21"/>
      <c r="KC265" s="21"/>
      <c r="KD265" s="21"/>
      <c r="KE265" s="21"/>
      <c r="KF265" s="21"/>
      <c r="KG265" s="21"/>
      <c r="KH265" s="21"/>
      <c r="KI265" s="21"/>
      <c r="KJ265" s="21"/>
      <c r="KK265" s="21"/>
      <c r="KL265" s="21"/>
      <c r="KM265" s="21"/>
      <c r="KN265" s="21"/>
      <c r="KO265" s="21"/>
      <c r="KP265" s="21"/>
      <c r="KQ265" s="168">
        <v>2964000</v>
      </c>
      <c r="KR265" s="168">
        <v>2680000</v>
      </c>
      <c r="KS265" s="21"/>
      <c r="KT265" s="21"/>
      <c r="KU265" s="21"/>
      <c r="KV265" s="21"/>
      <c r="KW265" s="21"/>
      <c r="KX265" s="21"/>
      <c r="KY265" s="21"/>
      <c r="KZ265" s="21"/>
      <c r="LA265" s="168">
        <v>965000</v>
      </c>
      <c r="LB265" s="168">
        <v>965000</v>
      </c>
      <c r="LC265" s="21"/>
      <c r="LD265" s="21"/>
      <c r="LE265" s="21"/>
      <c r="LF265" s="21"/>
      <c r="LG265" s="21"/>
      <c r="LH265" s="21"/>
      <c r="LI265" s="21"/>
      <c r="LJ265" s="21"/>
      <c r="LK265" s="168">
        <v>5738000</v>
      </c>
      <c r="LL265" s="168">
        <v>7035000</v>
      </c>
      <c r="LM265" s="21"/>
      <c r="LN265" s="21"/>
      <c r="LO265" s="21"/>
      <c r="LP265" s="21"/>
      <c r="LQ265" s="21"/>
      <c r="LR265" s="21"/>
      <c r="LS265" s="21"/>
      <c r="LT265" s="21"/>
      <c r="LU265" s="21"/>
      <c r="LV265" s="21"/>
      <c r="LW265" s="21"/>
      <c r="LX265" s="21"/>
      <c r="LY265" s="21"/>
      <c r="LZ265" s="21"/>
      <c r="MA265" s="21"/>
      <c r="MB265" s="21"/>
      <c r="MC265" s="168">
        <v>9263000</v>
      </c>
      <c r="MD265" s="168">
        <v>8371000</v>
      </c>
      <c r="ME265" s="21"/>
      <c r="MF265" s="21"/>
      <c r="MG265" s="168">
        <v>8000</v>
      </c>
      <c r="MH265" s="168">
        <v>16000</v>
      </c>
      <c r="MI265" s="21"/>
      <c r="MJ265" s="21"/>
      <c r="MK265" s="21"/>
      <c r="ML265" s="21"/>
      <c r="MM265" s="21"/>
      <c r="MN265" s="21"/>
      <c r="MO265" s="21"/>
      <c r="MP265" s="21"/>
      <c r="MQ265" s="21"/>
      <c r="MR265" s="21"/>
      <c r="MS265" s="21"/>
      <c r="MT265" s="21"/>
      <c r="MU265" s="21"/>
      <c r="MV265" s="21"/>
      <c r="MW265" s="21"/>
      <c r="MX265" s="21"/>
      <c r="MY265" s="21"/>
      <c r="MZ265" s="21"/>
      <c r="NA265" s="21"/>
      <c r="NB265" s="21"/>
      <c r="NC265" s="168">
        <v>-90000</v>
      </c>
      <c r="ND265" s="168">
        <v>405000</v>
      </c>
      <c r="NE265" s="21"/>
      <c r="NF265" s="21"/>
      <c r="NG265" s="168">
        <v>9747000</v>
      </c>
      <c r="NH265" s="168">
        <v>9996000</v>
      </c>
      <c r="NI265" s="21"/>
      <c r="NJ265" s="21"/>
      <c r="NK265" s="168">
        <v>2000</v>
      </c>
      <c r="NL265" s="168">
        <v>2000</v>
      </c>
      <c r="NM265" s="168">
        <v>17966000</v>
      </c>
      <c r="NN265" s="168">
        <v>18086000</v>
      </c>
      <c r="NO265" s="168">
        <v>28175000</v>
      </c>
      <c r="NP265" s="168">
        <v>28490000</v>
      </c>
      <c r="NQ265" s="168" t="s">
        <v>1433</v>
      </c>
      <c r="NR265" s="168" t="s">
        <v>769</v>
      </c>
      <c r="NS265" s="168" t="s">
        <v>770</v>
      </c>
      <c r="NT265" s="168" t="s">
        <v>771</v>
      </c>
      <c r="NU265" s="168">
        <v>5301</v>
      </c>
      <c r="NV265" s="168" t="s">
        <v>2104</v>
      </c>
      <c r="NW265" s="168" t="s">
        <v>28</v>
      </c>
      <c r="NX265" s="168" t="s">
        <v>25</v>
      </c>
      <c r="NY265" s="169">
        <v>42794</v>
      </c>
      <c r="NZ265" s="169">
        <v>42429</v>
      </c>
      <c r="OA265" s="169">
        <v>42936</v>
      </c>
      <c r="OB265" s="168" t="s">
        <v>1434</v>
      </c>
      <c r="OC265" s="168">
        <v>12</v>
      </c>
      <c r="OD265" s="168" t="s">
        <v>2105</v>
      </c>
      <c r="OE265" s="168" t="s">
        <v>2121</v>
      </c>
      <c r="OF265" s="168" t="s">
        <v>2532</v>
      </c>
      <c r="OG265" s="168" t="s">
        <v>2015</v>
      </c>
      <c r="OH265" s="168" t="s">
        <v>793</v>
      </c>
      <c r="OI265" s="168" t="s">
        <v>766</v>
      </c>
      <c r="OJ265" s="168" t="s">
        <v>3240</v>
      </c>
      <c r="OK265" s="168" t="s">
        <v>767</v>
      </c>
    </row>
    <row r="266" spans="1:401" x14ac:dyDescent="0.2">
      <c r="A266" s="170" t="str">
        <f>Liste[[#This Row],[Siren]]</f>
        <v>493169932</v>
      </c>
      <c r="B266" s="198" t="str">
        <f>Liste[[#This Row],[Dénomination]]&amp;" - comptes "&amp;YEAR(Liste[[#This Row],[Date de cloture de l''exercice]])</f>
        <v>EO2 - comptes 2017</v>
      </c>
      <c r="C266" s="21"/>
      <c r="D266" s="21"/>
      <c r="E266" s="21"/>
      <c r="F266" s="168">
        <v>1774000</v>
      </c>
      <c r="G266" s="168">
        <v>1489000</v>
      </c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168">
        <v>3494000</v>
      </c>
      <c r="BE266" s="168">
        <v>3534000</v>
      </c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168">
        <v>5683000</v>
      </c>
      <c r="BY266" s="168">
        <v>3369000</v>
      </c>
      <c r="BZ266" s="21"/>
      <c r="CA266" s="21"/>
      <c r="CB266" s="21"/>
      <c r="CC266" s="21"/>
      <c r="CD266" s="21"/>
      <c r="CE266" s="168">
        <v>161000</v>
      </c>
      <c r="CF266" s="168">
        <v>170000</v>
      </c>
      <c r="CG266" s="21"/>
      <c r="CH266" s="21"/>
      <c r="CI266" s="21"/>
      <c r="CJ266" s="21"/>
      <c r="CK266" s="21"/>
      <c r="CL266" s="21"/>
      <c r="CM266" s="21"/>
      <c r="CN266" s="21"/>
      <c r="CO266" s="21"/>
      <c r="CP266" s="21"/>
      <c r="CQ266" s="21"/>
      <c r="CR266" s="21"/>
      <c r="CS266" s="21"/>
      <c r="CT266" s="21"/>
      <c r="CU266" s="21"/>
      <c r="CV266" s="21"/>
      <c r="CW266" s="21"/>
      <c r="CX266" s="21"/>
      <c r="CY266" s="21"/>
      <c r="CZ266" s="21"/>
      <c r="DA266" s="21"/>
      <c r="DB266" s="21"/>
      <c r="DC266" s="21"/>
      <c r="DD266" s="21"/>
      <c r="DE266" s="21"/>
      <c r="DF266" s="21"/>
      <c r="DG266" s="21"/>
      <c r="DH266" s="21"/>
      <c r="DI266" s="21"/>
      <c r="DJ266" s="21"/>
      <c r="DK266" s="21"/>
      <c r="DL266" s="21"/>
      <c r="DM266" s="21"/>
      <c r="DN266" s="21"/>
      <c r="DO266" s="21"/>
      <c r="DP266" s="21"/>
      <c r="DQ266" s="21"/>
      <c r="DR266" s="21"/>
      <c r="DS266" s="21"/>
      <c r="DT266" s="21"/>
      <c r="DU266" s="21"/>
      <c r="DV266" s="21"/>
      <c r="DW266" s="21"/>
      <c r="DX266" s="21"/>
      <c r="DY266" s="21"/>
      <c r="DZ266" s="21"/>
      <c r="EA266" s="21"/>
      <c r="EB266" s="21"/>
      <c r="EC266" s="21"/>
      <c r="ED266" s="21"/>
      <c r="EE266" s="21"/>
      <c r="EF266" s="21"/>
      <c r="EG266" s="21"/>
      <c r="EH266" s="21"/>
      <c r="EI266" s="21"/>
      <c r="EJ266" s="21"/>
      <c r="EK266" s="21"/>
      <c r="EL266" s="168">
        <v>11612000</v>
      </c>
      <c r="EM266" s="168">
        <v>12133000</v>
      </c>
      <c r="EN266" s="21"/>
      <c r="EO266" s="21"/>
      <c r="EP266" s="168">
        <v>13173000</v>
      </c>
      <c r="EQ266" s="168">
        <v>13280000</v>
      </c>
      <c r="ER266" s="21"/>
      <c r="ES266" s="21"/>
      <c r="ET266" s="168">
        <v>24785000</v>
      </c>
      <c r="EU266" s="168">
        <v>25413000</v>
      </c>
      <c r="EV266" s="21"/>
      <c r="EW266" s="21"/>
      <c r="EX266" s="21"/>
      <c r="EY266" s="21"/>
      <c r="EZ266" s="21"/>
      <c r="FA266" s="21"/>
      <c r="FB266" s="21"/>
      <c r="FC266" s="21"/>
      <c r="FD266" s="21"/>
      <c r="FE266" s="21"/>
      <c r="FF266" s="21"/>
      <c r="FG266" s="21"/>
      <c r="FH266" s="21"/>
      <c r="FI266" s="21"/>
      <c r="FJ266" s="21"/>
      <c r="FK266" s="21"/>
      <c r="FL266" s="21"/>
      <c r="FM266" s="21"/>
      <c r="FN266" s="21"/>
      <c r="FO266" s="21"/>
      <c r="FP266" s="21"/>
      <c r="FQ266" s="21"/>
      <c r="FR266" s="21"/>
      <c r="FS266" s="21"/>
      <c r="FT266" s="21"/>
      <c r="FU266" s="21"/>
      <c r="FV266" s="21"/>
      <c r="FW266" s="21"/>
      <c r="FX266" s="21"/>
      <c r="FY266" s="168">
        <v>214000</v>
      </c>
      <c r="FZ266" s="168">
        <v>34000</v>
      </c>
      <c r="GA266" s="21"/>
      <c r="GB266" s="21"/>
      <c r="GC266" s="21"/>
      <c r="GD266" s="21"/>
      <c r="GE266" s="21"/>
      <c r="GF266" s="21"/>
      <c r="GG266" s="21"/>
      <c r="GH266" s="21"/>
      <c r="GI266" s="21"/>
      <c r="GJ266" s="21"/>
      <c r="GK266" s="21"/>
      <c r="GL266" s="21"/>
      <c r="GM266" s="168">
        <v>348000</v>
      </c>
      <c r="GN266" s="168">
        <v>301000</v>
      </c>
      <c r="GO266" s="168">
        <v>357000</v>
      </c>
      <c r="GP266" s="168">
        <v>305000</v>
      </c>
      <c r="GQ266" s="21"/>
      <c r="GR266" s="21"/>
      <c r="GS266" s="168">
        <v>562000</v>
      </c>
      <c r="GT266" s="168">
        <v>266000</v>
      </c>
      <c r="GU266" s="21"/>
      <c r="GV266" s="21"/>
      <c r="GW266" s="168">
        <v>184000</v>
      </c>
      <c r="GX266" s="168">
        <v>23000</v>
      </c>
      <c r="GY266" s="21"/>
      <c r="GZ266" s="21"/>
      <c r="HA266" s="21"/>
      <c r="HB266" s="21"/>
      <c r="HC266" s="21"/>
      <c r="HD266" s="21"/>
      <c r="HE266" s="21"/>
      <c r="HF266" s="21"/>
      <c r="HG266" s="21"/>
      <c r="HH266" s="21"/>
      <c r="HI266" s="168">
        <v>-1646000</v>
      </c>
      <c r="HJ266" s="168">
        <v>999000</v>
      </c>
      <c r="HK266" s="21"/>
      <c r="HL266" s="21"/>
      <c r="HM266" s="21"/>
      <c r="HN266" s="21"/>
      <c r="HO266" s="21"/>
      <c r="HP266" s="21"/>
      <c r="HQ266" s="21"/>
      <c r="HR266" s="21"/>
      <c r="HS266" s="21"/>
      <c r="HT266" s="21"/>
      <c r="HU266" s="21"/>
      <c r="HV266" s="21"/>
      <c r="HW266" s="21"/>
      <c r="HX266" s="21"/>
      <c r="HY266" s="21"/>
      <c r="HZ266" s="21"/>
      <c r="IA266" s="21"/>
      <c r="IB266" s="21"/>
      <c r="IC266" s="21"/>
      <c r="ID266" s="21"/>
      <c r="IE266" s="168">
        <v>-230000</v>
      </c>
      <c r="IF266" s="168">
        <v>-141000</v>
      </c>
      <c r="IG266" s="21"/>
      <c r="IH266" s="21"/>
      <c r="II266" s="21"/>
      <c r="IJ266" s="21"/>
      <c r="IK266" s="21"/>
      <c r="IL266" s="21"/>
      <c r="IM266" s="21"/>
      <c r="IN266" s="21"/>
      <c r="IO266" s="21"/>
      <c r="IP266" s="21"/>
      <c r="IQ266" s="21"/>
      <c r="IR266" s="21"/>
      <c r="IS266" s="21"/>
      <c r="IT266" s="21"/>
      <c r="IU266" s="168">
        <v>-294000</v>
      </c>
      <c r="IV266" s="168">
        <v>282000</v>
      </c>
      <c r="IW266" s="168">
        <v>-55000</v>
      </c>
      <c r="IX266" s="168">
        <v>572000</v>
      </c>
      <c r="IY266" s="168">
        <v>-235000</v>
      </c>
      <c r="IZ266" s="168">
        <v>-290000</v>
      </c>
      <c r="JA266" s="21"/>
      <c r="JB266" s="21"/>
      <c r="JC266" s="21"/>
      <c r="JD266" s="21"/>
      <c r="JE266" s="21"/>
      <c r="JF266" s="21"/>
      <c r="JG266" s="21"/>
      <c r="JH266" s="21"/>
      <c r="JI266" s="21"/>
      <c r="JJ266" s="21"/>
      <c r="JK266" s="21"/>
      <c r="JL266" s="21"/>
      <c r="JM266" s="168">
        <v>21903000</v>
      </c>
      <c r="JN266" s="168">
        <v>20827000</v>
      </c>
      <c r="JO266" s="21"/>
      <c r="JP266" s="21"/>
      <c r="JQ266" s="21"/>
      <c r="JR266" s="21"/>
      <c r="JS266" s="21"/>
      <c r="JT266" s="21"/>
      <c r="JU266" s="21"/>
      <c r="JV266" s="21"/>
      <c r="JW266" s="168">
        <v>23549000</v>
      </c>
      <c r="JX266" s="168">
        <v>19827000</v>
      </c>
      <c r="JY266" s="21"/>
      <c r="JZ266" s="21"/>
      <c r="KA266" s="21"/>
      <c r="KB266" s="21"/>
      <c r="KC266" s="21"/>
      <c r="KD266" s="21"/>
      <c r="KE266" s="21"/>
      <c r="KF266" s="21"/>
      <c r="KG266" s="21"/>
      <c r="KH266" s="21"/>
      <c r="KI266" s="21"/>
      <c r="KJ266" s="21"/>
      <c r="KK266" s="21"/>
      <c r="KL266" s="21"/>
      <c r="KM266" s="21"/>
      <c r="KN266" s="21"/>
      <c r="KO266" s="21"/>
      <c r="KP266" s="21"/>
      <c r="KQ266" s="168">
        <v>1497000</v>
      </c>
      <c r="KR266" s="168">
        <v>1519000</v>
      </c>
      <c r="KS266" s="21"/>
      <c r="KT266" s="21"/>
      <c r="KU266" s="168">
        <v>1643000</v>
      </c>
      <c r="KV266" s="168">
        <v>1764000</v>
      </c>
      <c r="KW266" s="21"/>
      <c r="KX266" s="21"/>
      <c r="KY266" s="21"/>
      <c r="KZ266" s="21"/>
      <c r="LA266" s="168">
        <v>2467000</v>
      </c>
      <c r="LB266" s="168">
        <v>2467000</v>
      </c>
      <c r="LC266" s="21"/>
      <c r="LD266" s="21"/>
      <c r="LE266" s="21"/>
      <c r="LF266" s="21"/>
      <c r="LG266" s="21"/>
      <c r="LH266" s="21"/>
      <c r="LI266" s="21"/>
      <c r="LJ266" s="21"/>
      <c r="LK266" s="168">
        <v>3694000</v>
      </c>
      <c r="LL266" s="168">
        <v>3087000</v>
      </c>
      <c r="LM266" s="21"/>
      <c r="LN266" s="21"/>
      <c r="LO266" s="21"/>
      <c r="LP266" s="21"/>
      <c r="LQ266" s="21"/>
      <c r="LR266" s="21"/>
      <c r="LS266" s="21"/>
      <c r="LT266" s="21"/>
      <c r="LU266" s="21"/>
      <c r="LV266" s="21"/>
      <c r="LW266" s="21"/>
      <c r="LX266" s="21"/>
      <c r="LY266" s="21"/>
      <c r="LZ266" s="21"/>
      <c r="MA266" s="21"/>
      <c r="MB266" s="21"/>
      <c r="MC266" s="168">
        <v>6202000</v>
      </c>
      <c r="MD266" s="168">
        <v>7698000</v>
      </c>
      <c r="ME266" s="21"/>
      <c r="MF266" s="21"/>
      <c r="MG266" s="21"/>
      <c r="MH266" s="21"/>
      <c r="MI266" s="168">
        <v>7812000</v>
      </c>
      <c r="MJ266" s="168">
        <v>7812000</v>
      </c>
      <c r="MK266" s="21"/>
      <c r="ML266" s="21"/>
      <c r="MM266" s="21"/>
      <c r="MN266" s="21"/>
      <c r="MO266" s="21"/>
      <c r="MP266" s="21"/>
      <c r="MQ266" s="21"/>
      <c r="MR266" s="21"/>
      <c r="MS266" s="21"/>
      <c r="MT266" s="21"/>
      <c r="MU266" s="21"/>
      <c r="MV266" s="21"/>
      <c r="MW266" s="21"/>
      <c r="MX266" s="21"/>
      <c r="MY266" s="21"/>
      <c r="MZ266" s="21"/>
      <c r="NA266" s="21"/>
      <c r="NB266" s="21"/>
      <c r="NC266" s="168">
        <v>562000</v>
      </c>
      <c r="ND266" s="168">
        <v>266000</v>
      </c>
      <c r="NE266" s="21"/>
      <c r="NF266" s="21"/>
      <c r="NG266" s="168">
        <v>12455000</v>
      </c>
      <c r="NH266" s="168">
        <v>12255000</v>
      </c>
      <c r="NI266" s="21"/>
      <c r="NJ266" s="21"/>
      <c r="NK266" s="168">
        <v>659000</v>
      </c>
      <c r="NL266" s="168">
        <v>599000</v>
      </c>
      <c r="NM266" s="168">
        <v>11393000</v>
      </c>
      <c r="NN266" s="168">
        <v>12304000</v>
      </c>
      <c r="NO266" s="168">
        <v>24785000</v>
      </c>
      <c r="NP266" s="168">
        <v>25413000</v>
      </c>
      <c r="NQ266" s="168" t="s">
        <v>1188</v>
      </c>
      <c r="NR266" s="168" t="s">
        <v>1068</v>
      </c>
      <c r="NS266" s="168" t="s">
        <v>770</v>
      </c>
      <c r="NT266" s="168" t="s">
        <v>771</v>
      </c>
      <c r="NU266" s="168">
        <v>9201</v>
      </c>
      <c r="NV266" s="168" t="s">
        <v>2104</v>
      </c>
      <c r="NW266" s="168" t="s">
        <v>28</v>
      </c>
      <c r="NX266" s="168" t="s">
        <v>25</v>
      </c>
      <c r="NY266" s="169">
        <v>42794</v>
      </c>
      <c r="NZ266" s="169">
        <v>42429</v>
      </c>
      <c r="OA266" s="169">
        <v>42997</v>
      </c>
      <c r="OB266" s="168" t="s">
        <v>1486</v>
      </c>
      <c r="OC266" s="168">
        <v>12</v>
      </c>
      <c r="OD266" s="168" t="s">
        <v>2105</v>
      </c>
      <c r="OE266" s="168" t="s">
        <v>2581</v>
      </c>
      <c r="OF266" s="168" t="s">
        <v>2582</v>
      </c>
      <c r="OG266" s="168" t="s">
        <v>2047</v>
      </c>
      <c r="OH266" s="168" t="s">
        <v>777</v>
      </c>
      <c r="OI266" s="168" t="s">
        <v>766</v>
      </c>
      <c r="OJ266" s="168" t="s">
        <v>3240</v>
      </c>
      <c r="OK266" s="168" t="s">
        <v>1066</v>
      </c>
    </row>
    <row r="267" spans="1:401" x14ac:dyDescent="0.2">
      <c r="A267" s="170" t="str">
        <f>Liste[[#This Row],[Siren]]</f>
        <v>439422221</v>
      </c>
      <c r="B267" s="198" t="str">
        <f>Liste[[#This Row],[Dénomination]]&amp;" - comptes "&amp;YEAR(Liste[[#This Row],[Date de cloture de l''exercice]])</f>
        <v>HELIOS - comptes 2017</v>
      </c>
      <c r="C267" s="21"/>
      <c r="D267" s="21"/>
      <c r="E267" s="21"/>
      <c r="F267" s="168">
        <v>1283</v>
      </c>
      <c r="G267" s="168">
        <v>1469</v>
      </c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168">
        <v>368</v>
      </c>
      <c r="BE267" s="168">
        <v>296</v>
      </c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168">
        <v>2624</v>
      </c>
      <c r="CF267" s="168">
        <v>2702</v>
      </c>
      <c r="CG267" s="21"/>
      <c r="CH267" s="21"/>
      <c r="CI267" s="21"/>
      <c r="CJ267" s="21"/>
      <c r="CK267" s="21"/>
      <c r="CL267" s="21"/>
      <c r="CM267" s="21"/>
      <c r="CN267" s="21"/>
      <c r="CO267" s="21"/>
      <c r="CP267" s="21"/>
      <c r="CQ267" s="21"/>
      <c r="CR267" s="21"/>
      <c r="CS267" s="21"/>
      <c r="CT267" s="21"/>
      <c r="CU267" s="21"/>
      <c r="CV267" s="21"/>
      <c r="CW267" s="21"/>
      <c r="CX267" s="21"/>
      <c r="CY267" s="21"/>
      <c r="CZ267" s="21"/>
      <c r="DA267" s="21"/>
      <c r="DB267" s="21"/>
      <c r="DC267" s="21"/>
      <c r="DD267" s="21"/>
      <c r="DE267" s="21"/>
      <c r="DF267" s="21"/>
      <c r="DG267" s="21"/>
      <c r="DH267" s="21"/>
      <c r="DI267" s="21"/>
      <c r="DJ267" s="21"/>
      <c r="DK267" s="21"/>
      <c r="DL267" s="21"/>
      <c r="DM267" s="21"/>
      <c r="DN267" s="21"/>
      <c r="DO267" s="21"/>
      <c r="DP267" s="21"/>
      <c r="DQ267" s="21"/>
      <c r="DR267" s="21"/>
      <c r="DS267" s="21"/>
      <c r="DT267" s="21"/>
      <c r="DU267" s="21"/>
      <c r="DV267" s="21"/>
      <c r="DW267" s="21"/>
      <c r="DX267" s="21"/>
      <c r="DY267" s="21"/>
      <c r="DZ267" s="21"/>
      <c r="EA267" s="21"/>
      <c r="EB267" s="21"/>
      <c r="EC267" s="21"/>
      <c r="ED267" s="21"/>
      <c r="EE267" s="21"/>
      <c r="EF267" s="21"/>
      <c r="EG267" s="21"/>
      <c r="EH267" s="21"/>
      <c r="EI267" s="21"/>
      <c r="EJ267" s="21"/>
      <c r="EK267" s="21"/>
      <c r="EL267" s="168">
        <v>19146</v>
      </c>
      <c r="EM267" s="168">
        <v>20452</v>
      </c>
      <c r="EN267" s="21"/>
      <c r="EO267" s="21"/>
      <c r="EP267" s="168">
        <v>11662</v>
      </c>
      <c r="EQ267" s="168">
        <v>10375</v>
      </c>
      <c r="ER267" s="21"/>
      <c r="ES267" s="21"/>
      <c r="ET267" s="168">
        <v>30808</v>
      </c>
      <c r="EU267" s="168">
        <v>30827</v>
      </c>
      <c r="EV267" s="21"/>
      <c r="EW267" s="21"/>
      <c r="EX267" s="21"/>
      <c r="EY267" s="21"/>
      <c r="EZ267" s="21"/>
      <c r="FA267" s="21"/>
      <c r="FB267" s="21"/>
      <c r="FC267" s="21"/>
      <c r="FD267" s="21"/>
      <c r="FE267" s="21"/>
      <c r="FF267" s="21"/>
      <c r="FG267" s="21"/>
      <c r="FH267" s="21"/>
      <c r="FI267" s="21"/>
      <c r="FJ267" s="21"/>
      <c r="FK267" s="21"/>
      <c r="FL267" s="21"/>
      <c r="FM267" s="21"/>
      <c r="FN267" s="21"/>
      <c r="FO267" s="21"/>
      <c r="FP267" s="21"/>
      <c r="FQ267" s="21"/>
      <c r="FR267" s="168">
        <v>-567</v>
      </c>
      <c r="FS267" s="21"/>
      <c r="FT267" s="21"/>
      <c r="FU267" s="21"/>
      <c r="FV267" s="21"/>
      <c r="FW267" s="21"/>
      <c r="FX267" s="21"/>
      <c r="FY267" s="21"/>
      <c r="FZ267" s="168">
        <v>15</v>
      </c>
      <c r="GA267" s="21"/>
      <c r="GB267" s="21"/>
      <c r="GC267" s="21"/>
      <c r="GD267" s="21"/>
      <c r="GE267" s="21"/>
      <c r="GF267" s="21"/>
      <c r="GG267" s="21"/>
      <c r="GH267" s="21"/>
      <c r="GI267" s="21"/>
      <c r="GJ267" s="21"/>
      <c r="GK267" s="21"/>
      <c r="GL267" s="21"/>
      <c r="GM267" s="168">
        <v>1740</v>
      </c>
      <c r="GN267" s="168">
        <v>693</v>
      </c>
      <c r="GO267" s="168">
        <v>1740</v>
      </c>
      <c r="GP267" s="168">
        <v>1260</v>
      </c>
      <c r="GQ267" s="21"/>
      <c r="GR267" s="21"/>
      <c r="GS267" s="168">
        <v>1740</v>
      </c>
      <c r="GT267" s="168">
        <v>678</v>
      </c>
      <c r="GU267" s="21"/>
      <c r="GV267" s="21"/>
      <c r="GW267" s="21"/>
      <c r="GX267" s="21"/>
      <c r="GY267" s="21"/>
      <c r="GZ267" s="21"/>
      <c r="HA267" s="21"/>
      <c r="HB267" s="21"/>
      <c r="HC267" s="168">
        <v>-5199</v>
      </c>
      <c r="HD267" s="168">
        <v>-5104</v>
      </c>
      <c r="HE267" s="168">
        <v>-22</v>
      </c>
      <c r="HF267" s="168">
        <v>-20</v>
      </c>
      <c r="HG267" s="21"/>
      <c r="HH267" s="21"/>
      <c r="HI267" s="168">
        <v>435</v>
      </c>
      <c r="HJ267" s="168">
        <v>253</v>
      </c>
      <c r="HK267" s="21"/>
      <c r="HL267" s="21"/>
      <c r="HM267" s="21"/>
      <c r="HN267" s="21"/>
      <c r="HO267" s="21"/>
      <c r="HP267" s="21"/>
      <c r="HQ267" s="21"/>
      <c r="HR267" s="21"/>
      <c r="HS267" s="21"/>
      <c r="HT267" s="21"/>
      <c r="HU267" s="21"/>
      <c r="HV267" s="21"/>
      <c r="HW267" s="21"/>
      <c r="HX267" s="21"/>
      <c r="HY267" s="21"/>
      <c r="HZ267" s="21"/>
      <c r="IA267" s="21"/>
      <c r="IB267" s="21"/>
      <c r="IC267" s="21"/>
      <c r="ID267" s="21"/>
      <c r="IE267" s="168">
        <v>-719</v>
      </c>
      <c r="IF267" s="168">
        <v>-701</v>
      </c>
      <c r="IG267" s="21"/>
      <c r="IH267" s="21"/>
      <c r="II267" s="21"/>
      <c r="IJ267" s="21"/>
      <c r="IK267" s="21"/>
      <c r="IL267" s="21"/>
      <c r="IM267" s="21"/>
      <c r="IN267" s="21"/>
      <c r="IO267" s="21"/>
      <c r="IP267" s="21"/>
      <c r="IQ267" s="21"/>
      <c r="IR267" s="21"/>
      <c r="IS267" s="21"/>
      <c r="IT267" s="21"/>
      <c r="IU267" s="168">
        <v>2097</v>
      </c>
      <c r="IV267" s="168">
        <v>1577</v>
      </c>
      <c r="IW267" s="168">
        <v>2392</v>
      </c>
      <c r="IX267" s="168">
        <v>1901</v>
      </c>
      <c r="IY267" s="168">
        <v>-295</v>
      </c>
      <c r="IZ267" s="168">
        <v>-323</v>
      </c>
      <c r="JA267" s="21"/>
      <c r="JB267" s="21"/>
      <c r="JC267" s="21"/>
      <c r="JD267" s="21"/>
      <c r="JE267" s="21"/>
      <c r="JF267" s="21"/>
      <c r="JG267" s="21"/>
      <c r="JH267" s="21"/>
      <c r="JI267" s="168">
        <v>-63759</v>
      </c>
      <c r="JJ267" s="168">
        <v>-59447</v>
      </c>
      <c r="JK267" s="168">
        <v>-397</v>
      </c>
      <c r="JL267" s="168">
        <v>-387</v>
      </c>
      <c r="JM267" s="168">
        <v>66151</v>
      </c>
      <c r="JN267" s="168">
        <v>61348</v>
      </c>
      <c r="JO267" s="168">
        <v>102</v>
      </c>
      <c r="JP267" s="168">
        <v>64</v>
      </c>
      <c r="JQ267" s="21"/>
      <c r="JR267" s="21"/>
      <c r="JS267" s="21"/>
      <c r="JT267" s="21"/>
      <c r="JU267" s="21"/>
      <c r="JV267" s="21"/>
      <c r="JW267" s="168">
        <v>65716</v>
      </c>
      <c r="JX267" s="168">
        <v>61095</v>
      </c>
      <c r="JY267" s="21"/>
      <c r="JZ267" s="21"/>
      <c r="KA267" s="21"/>
      <c r="KB267" s="21"/>
      <c r="KC267" s="21"/>
      <c r="KD267" s="21"/>
      <c r="KE267" s="21"/>
      <c r="KF267" s="21"/>
      <c r="KG267" s="21"/>
      <c r="KH267" s="21"/>
      <c r="KI267" s="21"/>
      <c r="KJ267" s="21"/>
      <c r="KK267" s="21"/>
      <c r="KL267" s="21"/>
      <c r="KM267" s="21"/>
      <c r="KN267" s="21"/>
      <c r="KO267" s="21"/>
      <c r="KP267" s="21"/>
      <c r="KQ267" s="168">
        <v>1672</v>
      </c>
      <c r="KR267" s="168">
        <v>683</v>
      </c>
      <c r="KS267" s="21"/>
      <c r="KT267" s="21"/>
      <c r="KU267" s="21"/>
      <c r="KV267" s="21"/>
      <c r="KW267" s="21"/>
      <c r="KX267" s="21"/>
      <c r="KY267" s="21"/>
      <c r="KZ267" s="21"/>
      <c r="LA267" s="168">
        <v>465</v>
      </c>
      <c r="LB267" s="168">
        <v>465</v>
      </c>
      <c r="LC267" s="21"/>
      <c r="LD267" s="21"/>
      <c r="LE267" s="21"/>
      <c r="LF267" s="21"/>
      <c r="LG267" s="21"/>
      <c r="LH267" s="21"/>
      <c r="LI267" s="21"/>
      <c r="LJ267" s="21"/>
      <c r="LK267" s="168">
        <v>4153</v>
      </c>
      <c r="LL267" s="168">
        <v>4012</v>
      </c>
      <c r="LM267" s="21"/>
      <c r="LN267" s="21"/>
      <c r="LO267" s="21"/>
      <c r="LP267" s="21"/>
      <c r="LQ267" s="21"/>
      <c r="LR267" s="21"/>
      <c r="LS267" s="21"/>
      <c r="LT267" s="21"/>
      <c r="LU267" s="21"/>
      <c r="LV267" s="21"/>
      <c r="LW267" s="21"/>
      <c r="LX267" s="21"/>
      <c r="LY267" s="21"/>
      <c r="LZ267" s="21"/>
      <c r="MA267" s="21"/>
      <c r="MB267" s="21"/>
      <c r="MC267" s="168">
        <v>15323</v>
      </c>
      <c r="MD267" s="168">
        <v>17379</v>
      </c>
      <c r="ME267" s="21"/>
      <c r="MF267" s="21"/>
      <c r="MG267" s="21"/>
      <c r="MH267" s="21"/>
      <c r="MI267" s="21"/>
      <c r="MJ267" s="21"/>
      <c r="MK267" s="21"/>
      <c r="ML267" s="21"/>
      <c r="MM267" s="21"/>
      <c r="MN267" s="21"/>
      <c r="MO267" s="21"/>
      <c r="MP267" s="21"/>
      <c r="MQ267" s="21"/>
      <c r="MR267" s="21"/>
      <c r="MS267" s="21"/>
      <c r="MT267" s="21"/>
      <c r="MU267" s="21"/>
      <c r="MV267" s="21"/>
      <c r="MW267" s="21"/>
      <c r="MX267" s="21"/>
      <c r="MY267" s="21"/>
      <c r="MZ267" s="21"/>
      <c r="NA267" s="21"/>
      <c r="NB267" s="21"/>
      <c r="NC267" s="168">
        <v>1740</v>
      </c>
      <c r="ND267" s="168">
        <v>678</v>
      </c>
      <c r="NE267" s="21"/>
      <c r="NF267" s="21"/>
      <c r="NG267" s="168">
        <v>8664</v>
      </c>
      <c r="NH267" s="168">
        <v>6804</v>
      </c>
      <c r="NI267" s="21"/>
      <c r="NJ267" s="21"/>
      <c r="NK267" s="21"/>
      <c r="NL267" s="21"/>
      <c r="NM267" s="168">
        <v>21573</v>
      </c>
      <c r="NN267" s="168">
        <v>23449</v>
      </c>
      <c r="NO267" s="168">
        <v>30808</v>
      </c>
      <c r="NP267" s="168">
        <v>30827</v>
      </c>
      <c r="NQ267" s="168" t="s">
        <v>3411</v>
      </c>
      <c r="NR267" s="168" t="s">
        <v>797</v>
      </c>
      <c r="NS267" s="168" t="s">
        <v>770</v>
      </c>
      <c r="NT267" s="168" t="s">
        <v>771</v>
      </c>
      <c r="NU267" s="168">
        <v>5301</v>
      </c>
      <c r="NV267" s="168" t="s">
        <v>2104</v>
      </c>
      <c r="NW267" s="168" t="s">
        <v>28</v>
      </c>
      <c r="NX267" s="168" t="s">
        <v>25</v>
      </c>
      <c r="NY267" s="169">
        <v>42794</v>
      </c>
      <c r="NZ267" s="169">
        <v>42429</v>
      </c>
      <c r="OA267" s="169">
        <v>43011</v>
      </c>
      <c r="OB267" s="168" t="s">
        <v>1125</v>
      </c>
      <c r="OC267" s="168">
        <v>12</v>
      </c>
      <c r="OD267" s="168" t="s">
        <v>2105</v>
      </c>
      <c r="OE267" s="168" t="s">
        <v>2313</v>
      </c>
      <c r="OF267" s="168" t="s">
        <v>2314</v>
      </c>
      <c r="OG267" s="168" t="s">
        <v>1890</v>
      </c>
      <c r="OH267" s="168" t="s">
        <v>793</v>
      </c>
      <c r="OI267" s="168" t="s">
        <v>766</v>
      </c>
      <c r="OJ267" s="168" t="s">
        <v>3240</v>
      </c>
      <c r="OK267" s="168" t="s">
        <v>796</v>
      </c>
    </row>
    <row r="268" spans="1:401" x14ac:dyDescent="0.2">
      <c r="A268" s="170" t="str">
        <f>Liste[[#This Row],[Siren]]</f>
        <v>576850697</v>
      </c>
      <c r="B268" s="198" t="str">
        <f>Liste[[#This Row],[Dénomination]]&amp;" - comptes "&amp;YEAR(Liste[[#This Row],[Date de cloture de l''exercice]])</f>
        <v>SOCIETE LDC - comptes 2017</v>
      </c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168">
        <v>37647000</v>
      </c>
      <c r="R268" s="168">
        <v>47787000</v>
      </c>
      <c r="S268" s="168">
        <v>47780000</v>
      </c>
      <c r="T268" s="168">
        <v>85434000</v>
      </c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168">
        <v>7660000</v>
      </c>
      <c r="BD268" s="168">
        <v>436465000</v>
      </c>
      <c r="BE268" s="168">
        <v>421766000</v>
      </c>
      <c r="BF268" s="168">
        <v>444125000</v>
      </c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1"/>
      <c r="BY268" s="21"/>
      <c r="BZ268" s="21"/>
      <c r="CA268" s="21"/>
      <c r="CB268" s="21"/>
      <c r="CC268" s="21"/>
      <c r="CD268" s="21"/>
      <c r="CE268" s="21"/>
      <c r="CF268" s="21"/>
      <c r="CG268" s="21"/>
      <c r="CH268" s="21"/>
      <c r="CI268" s="21"/>
      <c r="CJ268" s="21"/>
      <c r="CK268" s="21"/>
      <c r="CL268" s="21"/>
      <c r="CM268" s="21"/>
      <c r="CN268" s="21"/>
      <c r="CO268" s="21"/>
      <c r="CP268" s="21"/>
      <c r="CQ268" s="21"/>
      <c r="CR268" s="21"/>
      <c r="CS268" s="21"/>
      <c r="CT268" s="21"/>
      <c r="CU268" s="21"/>
      <c r="CV268" s="21"/>
      <c r="CW268" s="21"/>
      <c r="CX268" s="21"/>
      <c r="CY268" s="21"/>
      <c r="CZ268" s="21"/>
      <c r="DA268" s="21"/>
      <c r="DB268" s="21"/>
      <c r="DC268" s="21"/>
      <c r="DD268" s="21"/>
      <c r="DE268" s="21"/>
      <c r="DF268" s="21"/>
      <c r="DG268" s="21"/>
      <c r="DH268" s="21"/>
      <c r="DI268" s="21"/>
      <c r="DJ268" s="21"/>
      <c r="DK268" s="21"/>
      <c r="DL268" s="21"/>
      <c r="DM268" s="21"/>
      <c r="DN268" s="21"/>
      <c r="DO268" s="21"/>
      <c r="DP268" s="21"/>
      <c r="DQ268" s="21"/>
      <c r="DR268" s="21"/>
      <c r="DS268" s="21"/>
      <c r="DT268" s="21"/>
      <c r="DU268" s="21"/>
      <c r="DV268" s="21"/>
      <c r="DW268" s="21"/>
      <c r="DX268" s="21"/>
      <c r="DY268" s="21"/>
      <c r="DZ268" s="21"/>
      <c r="EA268" s="21"/>
      <c r="EB268" s="21"/>
      <c r="EC268" s="21"/>
      <c r="ED268" s="21"/>
      <c r="EE268" s="21"/>
      <c r="EF268" s="21"/>
      <c r="EG268" s="168">
        <v>8443000</v>
      </c>
      <c r="EH268" s="168">
        <v>141939000</v>
      </c>
      <c r="EI268" s="168">
        <v>141978000</v>
      </c>
      <c r="EJ268" s="168">
        <v>150382000</v>
      </c>
      <c r="EK268" s="168">
        <v>1230606000</v>
      </c>
      <c r="EL268" s="168">
        <v>846198000</v>
      </c>
      <c r="EM268" s="168">
        <v>801325000</v>
      </c>
      <c r="EN268" s="168">
        <v>2076804000</v>
      </c>
      <c r="EO268" s="168">
        <v>39629000</v>
      </c>
      <c r="EP268" s="168">
        <v>1218041000</v>
      </c>
      <c r="EQ268" s="168">
        <v>1130703000</v>
      </c>
      <c r="ER268" s="168">
        <v>1257670000</v>
      </c>
      <c r="ES268" s="168">
        <v>1270235000</v>
      </c>
      <c r="ET268" s="168">
        <v>2064239000</v>
      </c>
      <c r="EU268" s="168">
        <v>1932028000</v>
      </c>
      <c r="EV268" s="168">
        <v>3334474000</v>
      </c>
      <c r="EW268" s="21"/>
      <c r="EX268" s="21"/>
      <c r="EY268" s="21"/>
      <c r="EZ268" s="21"/>
      <c r="FA268" s="21"/>
      <c r="FB268" s="168">
        <v>13080000</v>
      </c>
      <c r="FC268" s="168">
        <v>14804000</v>
      </c>
      <c r="FD268" s="168">
        <v>13080000</v>
      </c>
      <c r="FE268" s="21"/>
      <c r="FF268" s="21"/>
      <c r="FG268" s="21"/>
      <c r="FH268" s="21"/>
      <c r="FI268" s="21"/>
      <c r="FJ268" s="21"/>
      <c r="FK268" s="21"/>
      <c r="FL268" s="21"/>
      <c r="FM268" s="21"/>
      <c r="FN268" s="21"/>
      <c r="FO268" s="21"/>
      <c r="FP268" s="21"/>
      <c r="FQ268" s="21"/>
      <c r="FR268" s="21"/>
      <c r="FS268" s="21"/>
      <c r="FT268" s="21"/>
      <c r="FU268" s="21"/>
      <c r="FV268" s="21"/>
      <c r="FW268" s="21"/>
      <c r="FX268" s="21"/>
      <c r="FY268" s="168">
        <v>2631000</v>
      </c>
      <c r="FZ268" s="168">
        <v>642000</v>
      </c>
      <c r="GA268" s="21"/>
      <c r="GB268" s="21"/>
      <c r="GC268" s="21"/>
      <c r="GD268" s="21"/>
      <c r="GE268" s="21"/>
      <c r="GF268" s="21"/>
      <c r="GG268" s="21"/>
      <c r="GH268" s="21"/>
      <c r="GI268" s="21"/>
      <c r="GJ268" s="21"/>
      <c r="GK268" s="21"/>
      <c r="GL268" s="21"/>
      <c r="GM268" s="21"/>
      <c r="GN268" s="21"/>
      <c r="GO268" s="21"/>
      <c r="GP268" s="21"/>
      <c r="GQ268" s="21"/>
      <c r="GR268" s="21"/>
      <c r="GS268" s="168">
        <v>130252000</v>
      </c>
      <c r="GT268" s="168">
        <v>113808000</v>
      </c>
      <c r="GU268" s="21"/>
      <c r="GV268" s="21"/>
      <c r="GW268" s="21"/>
      <c r="GX268" s="21"/>
      <c r="GY268" s="21"/>
      <c r="GZ268" s="21"/>
      <c r="HA268" s="21"/>
      <c r="HB268" s="21"/>
      <c r="HC268" s="168">
        <v>-619465000</v>
      </c>
      <c r="HD268" s="168">
        <v>-589103000</v>
      </c>
      <c r="HE268" s="21"/>
      <c r="HF268" s="21"/>
      <c r="HG268" s="21"/>
      <c r="HH268" s="21"/>
      <c r="HI268" s="21"/>
      <c r="HJ268" s="21"/>
      <c r="HK268" s="21"/>
      <c r="HL268" s="21"/>
      <c r="HM268" s="21"/>
      <c r="HN268" s="21"/>
      <c r="HO268" s="21"/>
      <c r="HP268" s="21"/>
      <c r="HQ268" s="21"/>
      <c r="HR268" s="21"/>
      <c r="HS268" s="21"/>
      <c r="HT268" s="21"/>
      <c r="HU268" s="168">
        <v>-108761000</v>
      </c>
      <c r="HV268" s="168">
        <v>-95930000</v>
      </c>
      <c r="HW268" s="21"/>
      <c r="HX268" s="21"/>
      <c r="HY268" s="21"/>
      <c r="HZ268" s="21"/>
      <c r="IA268" s="21"/>
      <c r="IB268" s="21"/>
      <c r="IC268" s="21"/>
      <c r="ID268" s="21"/>
      <c r="IE268" s="168">
        <v>-54419000</v>
      </c>
      <c r="IF268" s="168">
        <v>-51629000</v>
      </c>
      <c r="IG268" s="21"/>
      <c r="IH268" s="21"/>
      <c r="II268" s="21"/>
      <c r="IJ268" s="21"/>
      <c r="IK268" s="21"/>
      <c r="IL268" s="21"/>
      <c r="IM268" s="21"/>
      <c r="IN268" s="21"/>
      <c r="IO268" s="21"/>
      <c r="IP268" s="21"/>
      <c r="IQ268" s="21"/>
      <c r="IR268" s="21"/>
      <c r="IS268" s="21"/>
      <c r="IT268" s="21"/>
      <c r="IU268" s="168">
        <v>178285000</v>
      </c>
      <c r="IV268" s="168">
        <v>162756000</v>
      </c>
      <c r="IW268" s="168">
        <v>174549000</v>
      </c>
      <c r="IX268" s="168">
        <v>160573000</v>
      </c>
      <c r="IY268" s="168">
        <v>3736000</v>
      </c>
      <c r="IZ268" s="168">
        <v>2183000</v>
      </c>
      <c r="JA268" s="21"/>
      <c r="JB268" s="21"/>
      <c r="JC268" s="21"/>
      <c r="JD268" s="21"/>
      <c r="JE268" s="168">
        <v>-779080000</v>
      </c>
      <c r="JF268" s="168">
        <v>-752515000</v>
      </c>
      <c r="JG268" s="21"/>
      <c r="JH268" s="21"/>
      <c r="JI268" s="21"/>
      <c r="JJ268" s="21"/>
      <c r="JK268" s="21"/>
      <c r="JL268" s="21"/>
      <c r="JM268" s="168">
        <v>1744403000</v>
      </c>
      <c r="JN268" s="168">
        <v>1650609000</v>
      </c>
      <c r="JO268" s="21"/>
      <c r="JP268" s="21"/>
      <c r="JQ268" s="21"/>
      <c r="JR268" s="21"/>
      <c r="JS268" s="21"/>
      <c r="JT268" s="21"/>
      <c r="JU268" s="21"/>
      <c r="JV268" s="21"/>
      <c r="JW268" s="168">
        <v>3580280000</v>
      </c>
      <c r="JX268" s="168">
        <v>3478606000</v>
      </c>
      <c r="JY268" s="21"/>
      <c r="JZ268" s="21"/>
      <c r="KA268" s="21"/>
      <c r="KB268" s="21"/>
      <c r="KC268" s="21"/>
      <c r="KD268" s="21"/>
      <c r="KE268" s="21"/>
      <c r="KF268" s="21"/>
      <c r="KG268" s="21"/>
      <c r="KH268" s="21"/>
      <c r="KI268" s="21"/>
      <c r="KJ268" s="21"/>
      <c r="KK268" s="21"/>
      <c r="KL268" s="21"/>
      <c r="KM268" s="21"/>
      <c r="KN268" s="21"/>
      <c r="KO268" s="21"/>
      <c r="KP268" s="21"/>
      <c r="KQ268" s="21"/>
      <c r="KR268" s="21"/>
      <c r="KS268" s="21"/>
      <c r="KT268" s="21"/>
      <c r="KU268" s="21"/>
      <c r="KV268" s="21"/>
      <c r="KW268" s="21"/>
      <c r="KX268" s="21"/>
      <c r="KY268" s="21"/>
      <c r="KZ268" s="21"/>
      <c r="LA268" s="168">
        <v>6685000</v>
      </c>
      <c r="LB268" s="168">
        <v>6647000</v>
      </c>
      <c r="LC268" s="21"/>
      <c r="LD268" s="21"/>
      <c r="LE268" s="21"/>
      <c r="LF268" s="21"/>
      <c r="LG268" s="21"/>
      <c r="LH268" s="21"/>
      <c r="LI268" s="21"/>
      <c r="LJ268" s="21"/>
      <c r="LK268" s="168">
        <v>347338000</v>
      </c>
      <c r="LL268" s="168">
        <v>349809000</v>
      </c>
      <c r="LM268" s="21"/>
      <c r="LN268" s="21"/>
      <c r="LO268" s="21"/>
      <c r="LP268" s="21"/>
      <c r="LQ268" s="21"/>
      <c r="LR268" s="21"/>
      <c r="LS268" s="21"/>
      <c r="LT268" s="21"/>
      <c r="LU268" s="168">
        <v>-2781000</v>
      </c>
      <c r="LV268" s="168">
        <v>-744000</v>
      </c>
      <c r="LW268" s="21"/>
      <c r="LX268" s="21"/>
      <c r="LY268" s="21"/>
      <c r="LZ268" s="21"/>
      <c r="MA268" s="168">
        <v>86667000</v>
      </c>
      <c r="MB268" s="168">
        <v>106070000</v>
      </c>
      <c r="MC268" s="21"/>
      <c r="MD268" s="21"/>
      <c r="ME268" s="21"/>
      <c r="MF268" s="21"/>
      <c r="MG268" s="168">
        <v>22338000</v>
      </c>
      <c r="MH268" s="168">
        <v>21539000</v>
      </c>
      <c r="MI268" s="168">
        <v>80095000</v>
      </c>
      <c r="MJ268" s="168">
        <v>71837000</v>
      </c>
      <c r="MK268" s="21"/>
      <c r="ML268" s="21"/>
      <c r="MM268" s="21"/>
      <c r="MN268" s="21"/>
      <c r="MO268" s="21"/>
      <c r="MP268" s="21"/>
      <c r="MQ268" s="21"/>
      <c r="MR268" s="21"/>
      <c r="MS268" s="21"/>
      <c r="MT268" s="21"/>
      <c r="MU268" s="21"/>
      <c r="MV268" s="21"/>
      <c r="MW268" s="21"/>
      <c r="MX268" s="21"/>
      <c r="MY268" s="21"/>
      <c r="MZ268" s="21"/>
      <c r="NA268" s="21"/>
      <c r="NB268" s="21"/>
      <c r="NC268" s="168">
        <v>130252000</v>
      </c>
      <c r="ND268" s="168">
        <v>113808000</v>
      </c>
      <c r="NE268" s="21"/>
      <c r="NF268" s="21"/>
      <c r="NG268" s="168">
        <v>1017904000</v>
      </c>
      <c r="NH268" s="168">
        <v>907389000</v>
      </c>
      <c r="NI268" s="21"/>
      <c r="NJ268" s="21"/>
      <c r="NK268" s="21"/>
      <c r="NL268" s="21"/>
      <c r="NM268" s="21"/>
      <c r="NN268" s="21"/>
      <c r="NO268" s="168">
        <v>2064239000</v>
      </c>
      <c r="NP268" s="168">
        <v>1932028000</v>
      </c>
      <c r="NQ268" s="168" t="s">
        <v>1131</v>
      </c>
      <c r="NR268" s="168" t="s">
        <v>797</v>
      </c>
      <c r="NS268" s="168" t="s">
        <v>770</v>
      </c>
      <c r="NT268" s="168" t="s">
        <v>771</v>
      </c>
      <c r="NU268" s="168">
        <v>7202</v>
      </c>
      <c r="NV268" s="168" t="s">
        <v>2104</v>
      </c>
      <c r="NW268" s="168" t="s">
        <v>28</v>
      </c>
      <c r="NX268" s="168" t="s">
        <v>25</v>
      </c>
      <c r="NY268" s="169">
        <v>42794</v>
      </c>
      <c r="NZ268" s="169">
        <v>42429</v>
      </c>
      <c r="OA268" s="169">
        <v>43014</v>
      </c>
      <c r="OB268" s="168" t="s">
        <v>1132</v>
      </c>
      <c r="OC268" s="168">
        <v>12</v>
      </c>
      <c r="OD268" s="168" t="s">
        <v>2106</v>
      </c>
      <c r="OE268" s="168" t="s">
        <v>2317</v>
      </c>
      <c r="OF268" s="168" t="s">
        <v>2318</v>
      </c>
      <c r="OG268" s="168" t="s">
        <v>1893</v>
      </c>
      <c r="OH268" s="168" t="s">
        <v>1037</v>
      </c>
      <c r="OI268" s="168" t="s">
        <v>766</v>
      </c>
      <c r="OJ268" s="168" t="s">
        <v>3240</v>
      </c>
      <c r="OK268" s="168" t="s">
        <v>796</v>
      </c>
    </row>
    <row r="269" spans="1:401" x14ac:dyDescent="0.2">
      <c r="A269" s="170" t="str">
        <f>Liste[[#This Row],[Siren]]</f>
        <v>321391138</v>
      </c>
      <c r="B269" s="198" t="str">
        <f>Liste[[#This Row],[Dénomination]]&amp;" - comptes "&amp;YEAR(Liste[[#This Row],[Date de cloture de l''exercice]])</f>
        <v>ROAD'IMMO - comptes 2017</v>
      </c>
      <c r="C269" s="21"/>
      <c r="D269" s="21"/>
      <c r="E269" s="168">
        <v>633</v>
      </c>
      <c r="F269" s="168">
        <v>1768603</v>
      </c>
      <c r="G269" s="168">
        <v>2071234</v>
      </c>
      <c r="H269" s="168">
        <v>1769236</v>
      </c>
      <c r="I269" s="168">
        <v>3497935</v>
      </c>
      <c r="J269" s="168">
        <v>2468819</v>
      </c>
      <c r="K269" s="168">
        <v>2942034</v>
      </c>
      <c r="L269" s="168">
        <v>5966754</v>
      </c>
      <c r="M269" s="21"/>
      <c r="N269" s="168">
        <v>8</v>
      </c>
      <c r="O269" s="168">
        <v>10</v>
      </c>
      <c r="P269" s="168">
        <v>8</v>
      </c>
      <c r="Q269" s="21"/>
      <c r="R269" s="21"/>
      <c r="S269" s="21"/>
      <c r="T269" s="21"/>
      <c r="U269" s="21"/>
      <c r="V269" s="21"/>
      <c r="W269" s="21"/>
      <c r="X269" s="21"/>
      <c r="Y269" s="21"/>
      <c r="Z269" s="168">
        <v>1203182</v>
      </c>
      <c r="AA269" s="168">
        <v>1194842</v>
      </c>
      <c r="AB269" s="168">
        <v>1203182</v>
      </c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168">
        <v>312158</v>
      </c>
      <c r="BA269" s="168">
        <v>371538</v>
      </c>
      <c r="BB269" s="168">
        <v>312158</v>
      </c>
      <c r="BC269" s="168">
        <v>32942</v>
      </c>
      <c r="BD269" s="168">
        <v>1473519</v>
      </c>
      <c r="BE269" s="168">
        <v>1234308</v>
      </c>
      <c r="BF269" s="168">
        <v>1506461</v>
      </c>
      <c r="BG269" s="168">
        <v>50869</v>
      </c>
      <c r="BH269" s="168">
        <v>3246</v>
      </c>
      <c r="BI269" s="168">
        <v>6257</v>
      </c>
      <c r="BJ269" s="168">
        <v>54115</v>
      </c>
      <c r="BK269" s="168">
        <v>12603888</v>
      </c>
      <c r="BL269" s="168">
        <v>7124069</v>
      </c>
      <c r="BM269" s="168">
        <v>7507060</v>
      </c>
      <c r="BN269" s="168">
        <v>19727957</v>
      </c>
      <c r="BO269" s="21"/>
      <c r="BP269" s="21"/>
      <c r="BQ269" s="21"/>
      <c r="BR269" s="21"/>
      <c r="BS269" s="21"/>
      <c r="BT269" s="21"/>
      <c r="BU269" s="21"/>
      <c r="BV269" s="21"/>
      <c r="BW269" s="21"/>
      <c r="BX269" s="168">
        <v>13969220</v>
      </c>
      <c r="BY269" s="168">
        <v>13474572</v>
      </c>
      <c r="BZ269" s="168">
        <v>13969220</v>
      </c>
      <c r="CA269" s="21"/>
      <c r="CB269" s="21"/>
      <c r="CC269" s="21"/>
      <c r="CD269" s="168">
        <v>28998</v>
      </c>
      <c r="CE269" s="168">
        <v>169843</v>
      </c>
      <c r="CF269" s="168">
        <v>179785</v>
      </c>
      <c r="CG269" s="168">
        <v>198841</v>
      </c>
      <c r="CH269" s="21"/>
      <c r="CI269" s="21"/>
      <c r="CJ269" s="21"/>
      <c r="CK269" s="21"/>
      <c r="CL269" s="21"/>
      <c r="CM269" s="21"/>
      <c r="CN269" s="21"/>
      <c r="CO269" s="21"/>
      <c r="CP269" s="21"/>
      <c r="CQ269" s="168">
        <v>457347</v>
      </c>
      <c r="CR269" s="168">
        <v>457347</v>
      </c>
      <c r="CS269" s="168">
        <v>457347</v>
      </c>
      <c r="CT269" s="21"/>
      <c r="CU269" s="21"/>
      <c r="CV269" s="21"/>
      <c r="CW269" s="21"/>
      <c r="CX269" s="21"/>
      <c r="CY269" s="21"/>
      <c r="CZ269" s="21"/>
      <c r="DA269" s="21"/>
      <c r="DB269" s="21"/>
      <c r="DC269" s="21"/>
      <c r="DD269" s="168">
        <v>10000</v>
      </c>
      <c r="DE269" s="21"/>
      <c r="DF269" s="168">
        <v>2693747</v>
      </c>
      <c r="DG269" s="168">
        <v>1576505</v>
      </c>
      <c r="DH269" s="168">
        <v>1668472</v>
      </c>
      <c r="DI269" s="168">
        <v>4270252</v>
      </c>
      <c r="DJ269" s="21"/>
      <c r="DK269" s="168">
        <v>7147644</v>
      </c>
      <c r="DL269" s="168">
        <v>7255244</v>
      </c>
      <c r="DM269" s="168">
        <v>7147644</v>
      </c>
      <c r="DN269" s="21"/>
      <c r="DO269" s="168">
        <v>61194</v>
      </c>
      <c r="DP269" s="168">
        <v>62361</v>
      </c>
      <c r="DQ269" s="168">
        <v>61194</v>
      </c>
      <c r="DR269" s="21"/>
      <c r="DS269" s="21"/>
      <c r="DT269" s="21"/>
      <c r="DU269" s="21"/>
      <c r="DV269" s="21"/>
      <c r="DW269" s="168">
        <v>34771</v>
      </c>
      <c r="DX269" s="168">
        <v>49867</v>
      </c>
      <c r="DY269" s="168">
        <v>34771</v>
      </c>
      <c r="DZ269" s="21"/>
      <c r="EA269" s="21"/>
      <c r="EB269" s="21"/>
      <c r="EC269" s="21"/>
      <c r="ED269" s="21"/>
      <c r="EE269" s="21"/>
      <c r="EF269" s="21"/>
      <c r="EG269" s="21"/>
      <c r="EH269" s="21"/>
      <c r="EI269" s="21"/>
      <c r="EJ269" s="21"/>
      <c r="EK269" s="168">
        <v>19108240</v>
      </c>
      <c r="EL269" s="168">
        <v>15000364</v>
      </c>
      <c r="EM269" s="168">
        <v>16040149</v>
      </c>
      <c r="EN269" s="168">
        <v>34108604</v>
      </c>
      <c r="EO269" s="168">
        <v>33682</v>
      </c>
      <c r="EP269" s="168">
        <v>26073021</v>
      </c>
      <c r="EQ269" s="168">
        <v>25780613</v>
      </c>
      <c r="ER269" s="168">
        <v>26106703</v>
      </c>
      <c r="ES269" s="168">
        <v>19170920</v>
      </c>
      <c r="ET269" s="168">
        <v>41243229</v>
      </c>
      <c r="EU269" s="168">
        <v>42000548</v>
      </c>
      <c r="EV269" s="168">
        <v>60414149</v>
      </c>
      <c r="EW269" s="168">
        <v>261801</v>
      </c>
      <c r="EX269" s="168">
        <v>2132417</v>
      </c>
      <c r="EY269" s="168">
        <v>2204260</v>
      </c>
      <c r="EZ269" s="168">
        <v>2394218</v>
      </c>
      <c r="FA269" s="21"/>
      <c r="FB269" s="21"/>
      <c r="FC269" s="21"/>
      <c r="FD269" s="21"/>
      <c r="FE269" s="168">
        <v>107</v>
      </c>
      <c r="FF269" s="168">
        <v>1220951</v>
      </c>
      <c r="FG269" s="168">
        <v>1222003</v>
      </c>
      <c r="FH269" s="168">
        <v>1221058</v>
      </c>
      <c r="FI269" s="168">
        <v>132081</v>
      </c>
      <c r="FJ269" s="168">
        <v>207481</v>
      </c>
      <c r="FK269" s="21"/>
      <c r="FL269" s="21"/>
      <c r="FM269" s="21"/>
      <c r="FN269" s="21"/>
      <c r="FO269" s="21"/>
      <c r="FP269" s="21"/>
      <c r="FQ269" s="168">
        <v>9942</v>
      </c>
      <c r="FR269" s="168">
        <v>11599</v>
      </c>
      <c r="FS269" s="21"/>
      <c r="FT269" s="21"/>
      <c r="FU269" s="168">
        <v>-129585</v>
      </c>
      <c r="FV269" s="168">
        <v>9168</v>
      </c>
      <c r="FW269" s="168">
        <v>1273117</v>
      </c>
      <c r="FX269" s="168">
        <v>1033104</v>
      </c>
      <c r="FY269" s="168">
        <v>421</v>
      </c>
      <c r="FZ269" s="168">
        <v>480</v>
      </c>
      <c r="GA269" s="21"/>
      <c r="GB269" s="21"/>
      <c r="GC269" s="21"/>
      <c r="GD269" s="21"/>
      <c r="GE269" s="21"/>
      <c r="GF269" s="21"/>
      <c r="GG269" s="21"/>
      <c r="GH269" s="21"/>
      <c r="GI269" s="21"/>
      <c r="GJ269" s="21"/>
      <c r="GK269" s="21"/>
      <c r="GL269" s="21"/>
      <c r="GM269" s="168">
        <v>2621499</v>
      </c>
      <c r="GN269" s="168">
        <v>3033658</v>
      </c>
      <c r="GO269" s="168">
        <v>2631441</v>
      </c>
      <c r="GP269" s="168">
        <v>3045257</v>
      </c>
      <c r="GQ269" s="21"/>
      <c r="GR269" s="21"/>
      <c r="GS269" s="168">
        <v>2621077</v>
      </c>
      <c r="GT269" s="168">
        <v>3033177</v>
      </c>
      <c r="GU269" s="168">
        <v>175343</v>
      </c>
      <c r="GV269" s="168">
        <v>110085</v>
      </c>
      <c r="GW269" s="168">
        <v>307424</v>
      </c>
      <c r="GX269" s="168">
        <v>317566</v>
      </c>
      <c r="GY269" s="168">
        <v>65069051</v>
      </c>
      <c r="GZ269" s="168">
        <v>72695181</v>
      </c>
      <c r="HA269" s="21"/>
      <c r="HB269" s="21"/>
      <c r="HC269" s="168">
        <v>3462534</v>
      </c>
      <c r="HD269" s="168">
        <v>4048079</v>
      </c>
      <c r="HE269" s="21"/>
      <c r="HF269" s="21"/>
      <c r="HG269" s="21"/>
      <c r="HH269" s="21"/>
      <c r="HI269" s="168">
        <v>1302930</v>
      </c>
      <c r="HJ269" s="168">
        <v>1552028</v>
      </c>
      <c r="HK269" s="21"/>
      <c r="HL269" s="21"/>
      <c r="HM269" s="21"/>
      <c r="HN269" s="21"/>
      <c r="HO269" s="168">
        <v>2311244</v>
      </c>
      <c r="HP269" s="168">
        <v>3083419</v>
      </c>
      <c r="HQ269" s="21"/>
      <c r="HR269" s="21"/>
      <c r="HS269" s="21"/>
      <c r="HT269" s="21"/>
      <c r="HU269" s="168">
        <v>1429012</v>
      </c>
      <c r="HV269" s="168">
        <v>1559291</v>
      </c>
      <c r="HW269" s="168">
        <v>24639</v>
      </c>
      <c r="HX269" s="168">
        <v>5224</v>
      </c>
      <c r="HY269" s="21"/>
      <c r="HZ269" s="21"/>
      <c r="IA269" s="21"/>
      <c r="IB269" s="21"/>
      <c r="IC269" s="21"/>
      <c r="ID269" s="21"/>
      <c r="IE269" s="168">
        <v>1550625</v>
      </c>
      <c r="IF269" s="168">
        <v>1741163</v>
      </c>
      <c r="IG269" s="21"/>
      <c r="IH269" s="21"/>
      <c r="II269" s="21"/>
      <c r="IJ269" s="21"/>
      <c r="IK269" s="21"/>
      <c r="IL269" s="21"/>
      <c r="IM269" s="21"/>
      <c r="IN269" s="21"/>
      <c r="IO269" s="21"/>
      <c r="IP269" s="21"/>
      <c r="IQ269" s="21"/>
      <c r="IR269" s="21"/>
      <c r="IS269" s="21"/>
      <c r="IT269" s="21"/>
      <c r="IU269" s="168">
        <v>3642892</v>
      </c>
      <c r="IV269" s="168">
        <v>3880048</v>
      </c>
      <c r="IW269" s="168">
        <v>3324113</v>
      </c>
      <c r="IX269" s="168">
        <v>3714679</v>
      </c>
      <c r="IY269" s="168">
        <v>318779</v>
      </c>
      <c r="IZ269" s="168">
        <v>165369</v>
      </c>
      <c r="JA269" s="168">
        <v>-16529</v>
      </c>
      <c r="JB269" s="168">
        <v>-34106</v>
      </c>
      <c r="JC269" s="21"/>
      <c r="JD269" s="21"/>
      <c r="JE269" s="168">
        <v>7185263</v>
      </c>
      <c r="JF269" s="168">
        <v>8290610</v>
      </c>
      <c r="JG269" s="21"/>
      <c r="JH269" s="21"/>
      <c r="JI269" s="168">
        <v>16827551</v>
      </c>
      <c r="JJ269" s="168">
        <v>19559244</v>
      </c>
      <c r="JK269" s="168">
        <v>77562</v>
      </c>
      <c r="JL269" s="168">
        <v>174859</v>
      </c>
      <c r="JM269" s="21"/>
      <c r="JN269" s="21"/>
      <c r="JO269" s="168">
        <v>396341</v>
      </c>
      <c r="JP269" s="168">
        <v>340228</v>
      </c>
      <c r="JQ269" s="168">
        <v>107600</v>
      </c>
      <c r="JR269" s="168">
        <v>190141</v>
      </c>
      <c r="JS269" s="21"/>
      <c r="JT269" s="21"/>
      <c r="JU269" s="21"/>
      <c r="JV269" s="21"/>
      <c r="JW269" s="168">
        <v>83656988</v>
      </c>
      <c r="JX269" s="168">
        <v>93990282</v>
      </c>
      <c r="JY269" s="21"/>
      <c r="JZ269" s="21"/>
      <c r="KA269" s="21"/>
      <c r="KB269" s="21"/>
      <c r="KC269" s="21"/>
      <c r="KD269" s="21"/>
      <c r="KE269" s="21"/>
      <c r="KF269" s="21"/>
      <c r="KG269" s="21"/>
      <c r="KH269" s="21"/>
      <c r="KI269" s="168">
        <v>84432012</v>
      </c>
      <c r="KJ269" s="168">
        <v>94746109</v>
      </c>
      <c r="KK269" s="21"/>
      <c r="KL269" s="21"/>
      <c r="KM269" s="21"/>
      <c r="KN269" s="21"/>
      <c r="KO269" s="21"/>
      <c r="KP269" s="21"/>
      <c r="KQ269" s="168">
        <v>630304</v>
      </c>
      <c r="KR269" s="168">
        <v>636053</v>
      </c>
      <c r="KS269" s="21"/>
      <c r="KT269" s="21"/>
      <c r="KU269" s="168">
        <v>4737821</v>
      </c>
      <c r="KV269" s="168">
        <v>5785763</v>
      </c>
      <c r="KW269" s="21"/>
      <c r="KX269" s="21"/>
      <c r="KY269" s="21"/>
      <c r="KZ269" s="21"/>
      <c r="LA269" s="168">
        <v>402560</v>
      </c>
      <c r="LB269" s="168">
        <v>402560</v>
      </c>
      <c r="LC269" s="21"/>
      <c r="LD269" s="21"/>
      <c r="LE269" s="168">
        <v>421</v>
      </c>
      <c r="LF269" s="168">
        <v>480</v>
      </c>
      <c r="LG269" s="21"/>
      <c r="LH269" s="21"/>
      <c r="LI269" s="168">
        <v>3548402</v>
      </c>
      <c r="LJ269" s="168">
        <v>3166746</v>
      </c>
      <c r="LK269" s="168">
        <v>7056791</v>
      </c>
      <c r="LL269" s="168">
        <v>7163681</v>
      </c>
      <c r="LM269" s="168">
        <v>31987</v>
      </c>
      <c r="LN269" s="168">
        <v>18686</v>
      </c>
      <c r="LO269" s="21"/>
      <c r="LP269" s="21"/>
      <c r="LQ269" s="21"/>
      <c r="LR269" s="21"/>
      <c r="LS269" s="21"/>
      <c r="LT269" s="21"/>
      <c r="LU269" s="21"/>
      <c r="LV269" s="21"/>
      <c r="LW269" s="21"/>
      <c r="LX269" s="21"/>
      <c r="LY269" s="21"/>
      <c r="LZ269" s="21"/>
      <c r="MA269" s="168">
        <v>890848</v>
      </c>
      <c r="MB269" s="168">
        <v>2117484</v>
      </c>
      <c r="MC269" s="168">
        <v>2230043</v>
      </c>
      <c r="MD269" s="168">
        <v>1417605</v>
      </c>
      <c r="ME269" s="21"/>
      <c r="MF269" s="21"/>
      <c r="MG269" s="168">
        <v>2141079</v>
      </c>
      <c r="MH269" s="168">
        <v>2240284</v>
      </c>
      <c r="MI269" s="168">
        <v>6883440</v>
      </c>
      <c r="MJ269" s="168">
        <v>6883440</v>
      </c>
      <c r="MK269" s="21"/>
      <c r="ML269" s="21"/>
      <c r="MM269" s="168">
        <v>24448</v>
      </c>
      <c r="MN269" s="168">
        <v>25043</v>
      </c>
      <c r="MO269" s="21"/>
      <c r="MP269" s="21"/>
      <c r="MQ269" s="21"/>
      <c r="MR269" s="168">
        <v>142723</v>
      </c>
      <c r="MS269" s="21"/>
      <c r="MT269" s="21"/>
      <c r="MU269" s="21"/>
      <c r="MV269" s="21"/>
      <c r="MW269" s="168">
        <v>10020035</v>
      </c>
      <c r="MX269" s="168">
        <v>8939246</v>
      </c>
      <c r="MY269" s="21"/>
      <c r="MZ269" s="21"/>
      <c r="NA269" s="21"/>
      <c r="NB269" s="21"/>
      <c r="NC269" s="168">
        <v>2621077</v>
      </c>
      <c r="ND269" s="168">
        <v>3033177</v>
      </c>
      <c r="NE269" s="21"/>
      <c r="NF269" s="21"/>
      <c r="NG269" s="168">
        <v>24664933</v>
      </c>
      <c r="NH269" s="168">
        <v>25044186</v>
      </c>
      <c r="NI269" s="21"/>
      <c r="NJ269" s="21"/>
      <c r="NK269" s="168">
        <v>24393</v>
      </c>
      <c r="NL269" s="168">
        <v>28055</v>
      </c>
      <c r="NM269" s="168">
        <v>14412823</v>
      </c>
      <c r="NN269" s="168">
        <v>14545298</v>
      </c>
      <c r="NO269" s="168">
        <v>41243229</v>
      </c>
      <c r="NP269" s="168">
        <v>42000548</v>
      </c>
      <c r="NQ269" s="168" t="s">
        <v>1515</v>
      </c>
      <c r="NR269" s="168" t="s">
        <v>1298</v>
      </c>
      <c r="NS269" s="168" t="s">
        <v>770</v>
      </c>
      <c r="NT269" s="168" t="s">
        <v>771</v>
      </c>
      <c r="NU269" s="168">
        <v>4201</v>
      </c>
      <c r="NV269" s="168" t="s">
        <v>2104</v>
      </c>
      <c r="NW269" s="168" t="s">
        <v>28</v>
      </c>
      <c r="NX269" s="168" t="s">
        <v>25</v>
      </c>
      <c r="NY269" s="169">
        <v>42794</v>
      </c>
      <c r="NZ269" s="169">
        <v>42429</v>
      </c>
      <c r="OA269" s="169">
        <v>43045</v>
      </c>
      <c r="OB269" s="168" t="s">
        <v>1516</v>
      </c>
      <c r="OC269" s="168">
        <v>12</v>
      </c>
      <c r="OD269" s="168" t="s">
        <v>2105</v>
      </c>
      <c r="OE269" s="168" t="s">
        <v>2362</v>
      </c>
      <c r="OF269" s="168" t="s">
        <v>2602</v>
      </c>
      <c r="OG269" s="168" t="s">
        <v>2062</v>
      </c>
      <c r="OH269" s="168" t="s">
        <v>980</v>
      </c>
      <c r="OI269" s="168" t="s">
        <v>766</v>
      </c>
      <c r="OJ269" s="168" t="s">
        <v>3240</v>
      </c>
      <c r="OK269" s="168" t="s">
        <v>1297</v>
      </c>
    </row>
    <row r="270" spans="1:401" x14ac:dyDescent="0.2">
      <c r="A270" s="170" t="str">
        <f>Liste[[#This Row],[Siren]]</f>
        <v>445254469</v>
      </c>
      <c r="B270" s="198" t="str">
        <f>Liste[[#This Row],[Dénomination]]&amp;" - comptes "&amp;YEAR(Liste[[#This Row],[Date de cloture de l''exercice]])</f>
        <v>D.V.A. holding - comptes 2017</v>
      </c>
      <c r="C270" s="21"/>
      <c r="D270" s="21"/>
      <c r="E270" s="21"/>
      <c r="F270" s="168">
        <v>2631312</v>
      </c>
      <c r="G270" s="168">
        <v>2321431</v>
      </c>
      <c r="H270" s="168">
        <v>2631312</v>
      </c>
      <c r="I270" s="168">
        <v>646773</v>
      </c>
      <c r="J270" s="168">
        <v>481340</v>
      </c>
      <c r="K270" s="168">
        <v>581789</v>
      </c>
      <c r="L270" s="168">
        <v>1128113</v>
      </c>
      <c r="M270" s="21"/>
      <c r="N270" s="168">
        <v>23569</v>
      </c>
      <c r="O270" s="168">
        <v>43554</v>
      </c>
      <c r="P270" s="168">
        <v>23569</v>
      </c>
      <c r="Q270" s="21"/>
      <c r="R270" s="21"/>
      <c r="S270" s="21"/>
      <c r="T270" s="21"/>
      <c r="U270" s="21"/>
      <c r="V270" s="21"/>
      <c r="W270" s="21"/>
      <c r="X270" s="21"/>
      <c r="Y270" s="21"/>
      <c r="Z270" s="168">
        <v>709558</v>
      </c>
      <c r="AA270" s="168">
        <v>704923</v>
      </c>
      <c r="AB270" s="168">
        <v>709558</v>
      </c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168">
        <v>107153</v>
      </c>
      <c r="BA270" s="168">
        <v>148482</v>
      </c>
      <c r="BB270" s="168">
        <v>107153</v>
      </c>
      <c r="BC270" s="168">
        <v>287</v>
      </c>
      <c r="BD270" s="168">
        <v>1656</v>
      </c>
      <c r="BE270" s="168">
        <v>6173</v>
      </c>
      <c r="BF270" s="168">
        <v>1943</v>
      </c>
      <c r="BG270" s="168">
        <v>75760</v>
      </c>
      <c r="BH270" s="168">
        <v>2116</v>
      </c>
      <c r="BI270" s="168">
        <v>4294</v>
      </c>
      <c r="BJ270" s="168">
        <v>77876</v>
      </c>
      <c r="BK270" s="168">
        <v>7431571</v>
      </c>
      <c r="BL270" s="168">
        <v>9486375</v>
      </c>
      <c r="BM270" s="168">
        <v>7839841</v>
      </c>
      <c r="BN270" s="168">
        <v>16917946</v>
      </c>
      <c r="BO270" s="21"/>
      <c r="BP270" s="21"/>
      <c r="BQ270" s="168">
        <v>456335</v>
      </c>
      <c r="BR270" s="21"/>
      <c r="BS270" s="21"/>
      <c r="BT270" s="21"/>
      <c r="BU270" s="21"/>
      <c r="BV270" s="21"/>
      <c r="BW270" s="21"/>
      <c r="BX270" s="168">
        <v>168349</v>
      </c>
      <c r="BY270" s="168">
        <v>180113</v>
      </c>
      <c r="BZ270" s="168">
        <v>168349</v>
      </c>
      <c r="CA270" s="21"/>
      <c r="CB270" s="21"/>
      <c r="CC270" s="21"/>
      <c r="CD270" s="168">
        <v>2804932</v>
      </c>
      <c r="CE270" s="168">
        <v>5449388</v>
      </c>
      <c r="CF270" s="168">
        <v>1395068</v>
      </c>
      <c r="CG270" s="168">
        <v>8254320</v>
      </c>
      <c r="CH270" s="21"/>
      <c r="CI270" s="21"/>
      <c r="CJ270" s="21"/>
      <c r="CK270" s="21"/>
      <c r="CL270" s="21"/>
      <c r="CM270" s="21"/>
      <c r="CN270" s="21"/>
      <c r="CO270" s="21"/>
      <c r="CP270" s="21"/>
      <c r="CQ270" s="21"/>
      <c r="CR270" s="168">
        <v>4280000</v>
      </c>
      <c r="CS270" s="21"/>
      <c r="CT270" s="21"/>
      <c r="CU270" s="21"/>
      <c r="CV270" s="21"/>
      <c r="CW270" s="21"/>
      <c r="CX270" s="21"/>
      <c r="CY270" s="21"/>
      <c r="CZ270" s="21"/>
      <c r="DA270" s="21"/>
      <c r="DB270" s="21"/>
      <c r="DC270" s="21"/>
      <c r="DD270" s="21"/>
      <c r="DE270" s="21"/>
      <c r="DF270" s="168">
        <v>3278311</v>
      </c>
      <c r="DG270" s="168">
        <v>1219839</v>
      </c>
      <c r="DH270" s="168">
        <v>1486087</v>
      </c>
      <c r="DI270" s="168">
        <v>4498150</v>
      </c>
      <c r="DJ270" s="21"/>
      <c r="DK270" s="168">
        <v>2736489</v>
      </c>
      <c r="DL270" s="168">
        <v>3072475</v>
      </c>
      <c r="DM270" s="168">
        <v>2736489</v>
      </c>
      <c r="DN270" s="21"/>
      <c r="DO270" s="168">
        <v>36815</v>
      </c>
      <c r="DP270" s="168">
        <v>16777</v>
      </c>
      <c r="DQ270" s="168">
        <v>36815</v>
      </c>
      <c r="DR270" s="21"/>
      <c r="DS270" s="21"/>
      <c r="DT270" s="21"/>
      <c r="DU270" s="21"/>
      <c r="DV270" s="21"/>
      <c r="DW270" s="168">
        <v>17685</v>
      </c>
      <c r="DX270" s="168">
        <v>26838</v>
      </c>
      <c r="DY270" s="168">
        <v>17685</v>
      </c>
      <c r="DZ270" s="21"/>
      <c r="EA270" s="21"/>
      <c r="EB270" s="21"/>
      <c r="EC270" s="21"/>
      <c r="ED270" s="21"/>
      <c r="EE270" s="21"/>
      <c r="EF270" s="21"/>
      <c r="EG270" s="21"/>
      <c r="EH270" s="21"/>
      <c r="EI270" s="21"/>
      <c r="EJ270" s="21"/>
      <c r="EK270" s="168">
        <v>14237347</v>
      </c>
      <c r="EL270" s="168">
        <v>18716468</v>
      </c>
      <c r="EM270" s="168">
        <v>18145327</v>
      </c>
      <c r="EN270" s="168">
        <v>32953815</v>
      </c>
      <c r="EO270" s="168">
        <v>287</v>
      </c>
      <c r="EP270" s="168">
        <v>5681774</v>
      </c>
      <c r="EQ270" s="168">
        <v>5745451</v>
      </c>
      <c r="ER270" s="168">
        <v>5682061</v>
      </c>
      <c r="ES270" s="168">
        <v>14237634</v>
      </c>
      <c r="ET270" s="168">
        <v>24398243</v>
      </c>
      <c r="EU270" s="168">
        <v>23890778</v>
      </c>
      <c r="EV270" s="168">
        <v>38635877</v>
      </c>
      <c r="EW270" s="21"/>
      <c r="EX270" s="168">
        <v>1326598</v>
      </c>
      <c r="EY270" s="168">
        <v>1326598</v>
      </c>
      <c r="EZ270" s="168">
        <v>1326598</v>
      </c>
      <c r="FA270" s="21"/>
      <c r="FB270" s="21"/>
      <c r="FC270" s="21"/>
      <c r="FD270" s="21"/>
      <c r="FE270" s="21"/>
      <c r="FF270" s="21"/>
      <c r="FG270" s="21"/>
      <c r="FH270" s="21"/>
      <c r="FI270" s="168">
        <v>38362</v>
      </c>
      <c r="FJ270" s="168">
        <v>-133201</v>
      </c>
      <c r="FK270" s="21"/>
      <c r="FL270" s="21"/>
      <c r="FM270" s="21"/>
      <c r="FN270" s="21"/>
      <c r="FO270" s="21"/>
      <c r="FP270" s="21"/>
      <c r="FQ270" s="168">
        <v>200000</v>
      </c>
      <c r="FR270" s="168">
        <v>200000</v>
      </c>
      <c r="FS270" s="21"/>
      <c r="FT270" s="21"/>
      <c r="FU270" s="168">
        <v>-791</v>
      </c>
      <c r="FV270" s="168">
        <v>6938</v>
      </c>
      <c r="FW270" s="168">
        <v>-73420</v>
      </c>
      <c r="FX270" s="168">
        <v>23600</v>
      </c>
      <c r="FY270" s="168">
        <v>3180</v>
      </c>
      <c r="FZ270" s="168">
        <v>3843</v>
      </c>
      <c r="GA270" s="21"/>
      <c r="GB270" s="21"/>
      <c r="GC270" s="21"/>
      <c r="GD270" s="21"/>
      <c r="GE270" s="21"/>
      <c r="GF270" s="21"/>
      <c r="GG270" s="21"/>
      <c r="GH270" s="21"/>
      <c r="GI270" s="21"/>
      <c r="GJ270" s="21"/>
      <c r="GK270" s="21"/>
      <c r="GL270" s="21"/>
      <c r="GM270" s="168">
        <v>307592</v>
      </c>
      <c r="GN270" s="168">
        <v>418259</v>
      </c>
      <c r="GO270" s="168">
        <v>507592</v>
      </c>
      <c r="GP270" s="168">
        <v>618259</v>
      </c>
      <c r="GQ270" s="21"/>
      <c r="GR270" s="21"/>
      <c r="GS270" s="168">
        <v>304412</v>
      </c>
      <c r="GT270" s="168">
        <v>414416</v>
      </c>
      <c r="GU270" s="168">
        <v>104571</v>
      </c>
      <c r="GV270" s="168">
        <v>442906</v>
      </c>
      <c r="GW270" s="168">
        <v>142933</v>
      </c>
      <c r="GX270" s="168">
        <v>309705</v>
      </c>
      <c r="GY270" s="168">
        <v>30588606</v>
      </c>
      <c r="GZ270" s="168">
        <v>30673213</v>
      </c>
      <c r="HA270" s="21"/>
      <c r="HB270" s="21"/>
      <c r="HC270" s="168">
        <v>2141265</v>
      </c>
      <c r="HD270" s="168">
        <v>2122726</v>
      </c>
      <c r="HE270" s="168">
        <v>3282</v>
      </c>
      <c r="HF270" s="168">
        <v>6832</v>
      </c>
      <c r="HG270" s="21"/>
      <c r="HH270" s="21"/>
      <c r="HI270" s="168">
        <v>183655</v>
      </c>
      <c r="HJ270" s="168">
        <v>135430</v>
      </c>
      <c r="HK270" s="21"/>
      <c r="HL270" s="21"/>
      <c r="HM270" s="21"/>
      <c r="HN270" s="21"/>
      <c r="HO270" s="168">
        <v>1359466</v>
      </c>
      <c r="HP270" s="168">
        <v>1321438</v>
      </c>
      <c r="HQ270" s="21"/>
      <c r="HR270" s="21"/>
      <c r="HS270" s="21"/>
      <c r="HT270" s="21"/>
      <c r="HU270" s="168">
        <v>1153219</v>
      </c>
      <c r="HV270" s="168">
        <v>1067380</v>
      </c>
      <c r="HW270" s="168">
        <v>41601</v>
      </c>
      <c r="HX270" s="168">
        <v>12082</v>
      </c>
      <c r="HY270" s="21"/>
      <c r="HZ270" s="21"/>
      <c r="IA270" s="21"/>
      <c r="IB270" s="21"/>
      <c r="IC270" s="21"/>
      <c r="ID270" s="21"/>
      <c r="IE270" s="168">
        <v>629653</v>
      </c>
      <c r="IF270" s="168">
        <v>625779</v>
      </c>
      <c r="IG270" s="21"/>
      <c r="IH270" s="21"/>
      <c r="II270" s="21"/>
      <c r="IJ270" s="21"/>
      <c r="IK270" s="21"/>
      <c r="IL270" s="21"/>
      <c r="IM270" s="21"/>
      <c r="IN270" s="21"/>
      <c r="IO270" s="21"/>
      <c r="IP270" s="21"/>
      <c r="IQ270" s="21"/>
      <c r="IR270" s="21"/>
      <c r="IS270" s="21"/>
      <c r="IT270" s="21"/>
      <c r="IU270" s="168">
        <v>395019</v>
      </c>
      <c r="IV270" s="168">
        <v>781998</v>
      </c>
      <c r="IW270" s="168">
        <v>514936</v>
      </c>
      <c r="IX270" s="168">
        <v>881687</v>
      </c>
      <c r="IY270" s="168">
        <v>-119917</v>
      </c>
      <c r="IZ270" s="168">
        <v>-99689</v>
      </c>
      <c r="JA270" s="168">
        <v>-684</v>
      </c>
      <c r="JB270" s="168">
        <v>-739</v>
      </c>
      <c r="JC270" s="21"/>
      <c r="JD270" s="21"/>
      <c r="JE270" s="168">
        <v>3766883</v>
      </c>
      <c r="JF270" s="168">
        <v>3784272</v>
      </c>
      <c r="JG270" s="21"/>
      <c r="JH270" s="21"/>
      <c r="JI270" s="168">
        <v>9747517</v>
      </c>
      <c r="JJ270" s="168">
        <v>9861069</v>
      </c>
      <c r="JK270" s="21"/>
      <c r="JL270" s="21"/>
      <c r="JM270" s="168">
        <v>40616409</v>
      </c>
      <c r="JN270" s="168">
        <v>40988028</v>
      </c>
      <c r="JO270" s="168">
        <v>3188</v>
      </c>
      <c r="JP270" s="168">
        <v>5785</v>
      </c>
      <c r="JQ270" s="168">
        <v>335986</v>
      </c>
      <c r="JR270" s="168">
        <v>85209</v>
      </c>
      <c r="JS270" s="21"/>
      <c r="JT270" s="21"/>
      <c r="JU270" s="21"/>
      <c r="JV270" s="21"/>
      <c r="JW270" s="168">
        <v>40433438</v>
      </c>
      <c r="JX270" s="168">
        <v>40853337</v>
      </c>
      <c r="JY270" s="21"/>
      <c r="JZ270" s="21"/>
      <c r="KA270" s="21"/>
      <c r="KB270" s="21"/>
      <c r="KC270" s="21"/>
      <c r="KD270" s="21"/>
      <c r="KE270" s="21"/>
      <c r="KF270" s="21"/>
      <c r="KG270" s="21"/>
      <c r="KH270" s="21"/>
      <c r="KI270" s="168">
        <v>41053486</v>
      </c>
      <c r="KJ270" s="168">
        <v>41395267</v>
      </c>
      <c r="KK270" s="21"/>
      <c r="KL270" s="21"/>
      <c r="KM270" s="21"/>
      <c r="KN270" s="21"/>
      <c r="KO270" s="21"/>
      <c r="KP270" s="21"/>
      <c r="KQ270" s="168">
        <v>106807</v>
      </c>
      <c r="KR270" s="168">
        <v>127803</v>
      </c>
      <c r="KS270" s="21"/>
      <c r="KT270" s="21"/>
      <c r="KU270" s="168">
        <v>9281103</v>
      </c>
      <c r="KV270" s="168">
        <v>8408754</v>
      </c>
      <c r="KW270" s="21"/>
      <c r="KX270" s="21"/>
      <c r="KY270" s="168">
        <v>1812</v>
      </c>
      <c r="KZ270" s="168">
        <v>4044</v>
      </c>
      <c r="LA270" s="168">
        <v>40000</v>
      </c>
      <c r="LB270" s="168">
        <v>40000</v>
      </c>
      <c r="LC270" s="21"/>
      <c r="LD270" s="21"/>
      <c r="LE270" s="168">
        <v>3180</v>
      </c>
      <c r="LF270" s="168">
        <v>3843</v>
      </c>
      <c r="LG270" s="21"/>
      <c r="LH270" s="21"/>
      <c r="LI270" s="168">
        <v>1412177</v>
      </c>
      <c r="LJ270" s="168">
        <v>1353264</v>
      </c>
      <c r="LK270" s="168">
        <v>3162428</v>
      </c>
      <c r="LL270" s="168">
        <v>3347116</v>
      </c>
      <c r="LM270" s="21"/>
      <c r="LN270" s="21"/>
      <c r="LO270" s="21"/>
      <c r="LP270" s="21"/>
      <c r="LQ270" s="21"/>
      <c r="LR270" s="21"/>
      <c r="LS270" s="21"/>
      <c r="LT270" s="21"/>
      <c r="LU270" s="21"/>
      <c r="LV270" s="21"/>
      <c r="LW270" s="21"/>
      <c r="LX270" s="21"/>
      <c r="LY270" s="21"/>
      <c r="LZ270" s="21"/>
      <c r="MA270" s="168">
        <v>13094326</v>
      </c>
      <c r="MB270" s="168">
        <v>12584609</v>
      </c>
      <c r="MC270" s="168">
        <v>310633</v>
      </c>
      <c r="MD270" s="168">
        <v>391665</v>
      </c>
      <c r="ME270" s="21"/>
      <c r="MF270" s="21"/>
      <c r="MG270" s="21"/>
      <c r="MH270" s="21"/>
      <c r="MI270" s="21"/>
      <c r="MJ270" s="21"/>
      <c r="MK270" s="21"/>
      <c r="ML270" s="21"/>
      <c r="MM270" s="21"/>
      <c r="MN270" s="21"/>
      <c r="MO270" s="168">
        <v>120212</v>
      </c>
      <c r="MP270" s="168">
        <v>78898</v>
      </c>
      <c r="MQ270" s="21"/>
      <c r="MR270" s="168">
        <v>90040</v>
      </c>
      <c r="MS270" s="21"/>
      <c r="MT270" s="21"/>
      <c r="MU270" s="21"/>
      <c r="MV270" s="21"/>
      <c r="MW270" s="168">
        <v>-3445699</v>
      </c>
      <c r="MX270" s="168">
        <v>-2987767</v>
      </c>
      <c r="MY270" s="21"/>
      <c r="MZ270" s="21"/>
      <c r="NA270" s="21"/>
      <c r="NB270" s="21"/>
      <c r="NC270" s="168">
        <v>304412</v>
      </c>
      <c r="ND270" s="168">
        <v>414416</v>
      </c>
      <c r="NE270" s="21"/>
      <c r="NF270" s="21"/>
      <c r="NG270" s="168">
        <v>6179816</v>
      </c>
      <c r="NH270" s="168">
        <v>5875403</v>
      </c>
      <c r="NI270" s="21"/>
      <c r="NJ270" s="21"/>
      <c r="NK270" s="168">
        <v>10032</v>
      </c>
      <c r="NL270" s="168">
        <v>37933</v>
      </c>
      <c r="NM270" s="168">
        <v>18088183</v>
      </c>
      <c r="NN270" s="168">
        <v>17808501</v>
      </c>
      <c r="NO270" s="168">
        <v>24398243</v>
      </c>
      <c r="NP270" s="168">
        <v>23890778</v>
      </c>
      <c r="NQ270" s="168" t="s">
        <v>920</v>
      </c>
      <c r="NR270" s="168" t="s">
        <v>769</v>
      </c>
      <c r="NS270" s="168" t="s">
        <v>770</v>
      </c>
      <c r="NT270" s="168" t="s">
        <v>771</v>
      </c>
      <c r="NU270" s="168">
        <v>6901</v>
      </c>
      <c r="NV270" s="168" t="s">
        <v>2104</v>
      </c>
      <c r="NW270" s="168" t="s">
        <v>28</v>
      </c>
      <c r="NX270" s="168" t="s">
        <v>25</v>
      </c>
      <c r="NY270" s="169">
        <v>42794</v>
      </c>
      <c r="NZ270" s="169">
        <v>42429</v>
      </c>
      <c r="OA270" s="169">
        <v>43047</v>
      </c>
      <c r="OB270" s="168" t="s">
        <v>1520</v>
      </c>
      <c r="OC270" s="168">
        <v>12</v>
      </c>
      <c r="OD270" s="168" t="s">
        <v>2105</v>
      </c>
      <c r="OE270" s="168" t="s">
        <v>1521</v>
      </c>
      <c r="OF270" s="168" t="s">
        <v>2606</v>
      </c>
      <c r="OG270" s="168" t="s">
        <v>2065</v>
      </c>
      <c r="OH270" s="168" t="s">
        <v>819</v>
      </c>
      <c r="OI270" s="168" t="s">
        <v>766</v>
      </c>
      <c r="OJ270" s="168" t="s">
        <v>3240</v>
      </c>
      <c r="OK270" s="168" t="s">
        <v>767</v>
      </c>
    </row>
    <row r="271" spans="1:401" x14ac:dyDescent="0.2">
      <c r="A271" s="170" t="str">
        <f>Liste[[#This Row],[Siren]]</f>
        <v>399463348</v>
      </c>
      <c r="B271" s="198" t="str">
        <f>Liste[[#This Row],[Dénomination]]&amp;" - comptes "&amp;YEAR(Liste[[#This Row],[Date de cloture de l''exercice]])</f>
        <v>BEARN DISTRIBUTION - comptes 2017</v>
      </c>
      <c r="C271" s="21"/>
      <c r="D271" s="21"/>
      <c r="E271" s="21"/>
      <c r="F271" s="168">
        <v>785574</v>
      </c>
      <c r="G271" s="168">
        <v>670080</v>
      </c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168">
        <v>1036040</v>
      </c>
      <c r="BE271" s="168">
        <v>807685</v>
      </c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168">
        <v>3465025</v>
      </c>
      <c r="BY271" s="168">
        <v>7641173</v>
      </c>
      <c r="BZ271" s="21"/>
      <c r="CA271" s="21"/>
      <c r="CB271" s="21"/>
      <c r="CC271" s="21"/>
      <c r="CD271" s="21"/>
      <c r="CE271" s="168">
        <v>6340953</v>
      </c>
      <c r="CF271" s="168">
        <v>11706</v>
      </c>
      <c r="CG271" s="21"/>
      <c r="CH271" s="21"/>
      <c r="CI271" s="21"/>
      <c r="CJ271" s="21"/>
      <c r="CK271" s="21"/>
      <c r="CL271" s="21"/>
      <c r="CM271" s="21"/>
      <c r="CN271" s="21"/>
      <c r="CO271" s="21"/>
      <c r="CP271" s="21"/>
      <c r="CQ271" s="21"/>
      <c r="CR271" s="21"/>
      <c r="CS271" s="21"/>
      <c r="CT271" s="21"/>
      <c r="CU271" s="21"/>
      <c r="CV271" s="21"/>
      <c r="CW271" s="21"/>
      <c r="CX271" s="21"/>
      <c r="CY271" s="21"/>
      <c r="CZ271" s="21"/>
      <c r="DA271" s="21"/>
      <c r="DB271" s="21"/>
      <c r="DC271" s="21"/>
      <c r="DD271" s="21"/>
      <c r="DE271" s="21"/>
      <c r="DF271" s="21"/>
      <c r="DG271" s="21"/>
      <c r="DH271" s="21"/>
      <c r="DI271" s="21"/>
      <c r="DJ271" s="21"/>
      <c r="DK271" s="21"/>
      <c r="DL271" s="21"/>
      <c r="DM271" s="21"/>
      <c r="DN271" s="21"/>
      <c r="DO271" s="21"/>
      <c r="DP271" s="21"/>
      <c r="DQ271" s="21"/>
      <c r="DR271" s="21"/>
      <c r="DS271" s="21"/>
      <c r="DT271" s="21"/>
      <c r="DU271" s="21"/>
      <c r="DV271" s="21"/>
      <c r="DW271" s="21"/>
      <c r="DX271" s="21"/>
      <c r="DY271" s="21"/>
      <c r="DZ271" s="21"/>
      <c r="EA271" s="21"/>
      <c r="EB271" s="21"/>
      <c r="EC271" s="21"/>
      <c r="ED271" s="21"/>
      <c r="EE271" s="21"/>
      <c r="EF271" s="21"/>
      <c r="EG271" s="21"/>
      <c r="EH271" s="21"/>
      <c r="EI271" s="21"/>
      <c r="EJ271" s="21"/>
      <c r="EK271" s="21"/>
      <c r="EL271" s="168">
        <v>19865790</v>
      </c>
      <c r="EM271" s="168">
        <v>23670459</v>
      </c>
      <c r="EN271" s="21"/>
      <c r="EO271" s="21"/>
      <c r="EP271" s="168">
        <v>13516938</v>
      </c>
      <c r="EQ271" s="168">
        <v>16010381</v>
      </c>
      <c r="ER271" s="21"/>
      <c r="ES271" s="21"/>
      <c r="ET271" s="168">
        <v>40009592</v>
      </c>
      <c r="EU271" s="168">
        <v>40011110</v>
      </c>
      <c r="EV271" s="21"/>
      <c r="EW271" s="21"/>
      <c r="EX271" s="21"/>
      <c r="EY271" s="21"/>
      <c r="EZ271" s="21"/>
      <c r="FA271" s="21"/>
      <c r="FB271" s="21"/>
      <c r="FC271" s="21"/>
      <c r="FD271" s="21"/>
      <c r="FE271" s="21"/>
      <c r="FF271" s="168">
        <v>2000000</v>
      </c>
      <c r="FG271" s="168">
        <v>2000000</v>
      </c>
      <c r="FH271" s="21"/>
      <c r="FI271" s="168">
        <v>-108851</v>
      </c>
      <c r="FJ271" s="168">
        <v>-10454</v>
      </c>
      <c r="FK271" s="21"/>
      <c r="FL271" s="21"/>
      <c r="FM271" s="21"/>
      <c r="FN271" s="21"/>
      <c r="FO271" s="21"/>
      <c r="FP271" s="21"/>
      <c r="FQ271" s="168">
        <v>11706</v>
      </c>
      <c r="FR271" s="168">
        <v>17560</v>
      </c>
      <c r="FS271" s="21"/>
      <c r="FT271" s="21"/>
      <c r="FU271" s="21"/>
      <c r="FV271" s="21"/>
      <c r="FW271" s="21"/>
      <c r="FX271" s="21"/>
      <c r="FY271" s="168">
        <v>6567</v>
      </c>
      <c r="FZ271" s="168">
        <v>6560</v>
      </c>
      <c r="GA271" s="21"/>
      <c r="GB271" s="21"/>
      <c r="GC271" s="21"/>
      <c r="GD271" s="21"/>
      <c r="GE271" s="21"/>
      <c r="GF271" s="21"/>
      <c r="GG271" s="21"/>
      <c r="GH271" s="21"/>
      <c r="GI271" s="21"/>
      <c r="GJ271" s="21"/>
      <c r="GK271" s="21"/>
      <c r="GL271" s="21"/>
      <c r="GM271" s="168">
        <v>1947625</v>
      </c>
      <c r="GN271" s="168">
        <v>1906719</v>
      </c>
      <c r="GO271" s="168">
        <v>1965898</v>
      </c>
      <c r="GP271" s="168">
        <v>1930837</v>
      </c>
      <c r="GQ271" s="21"/>
      <c r="GR271" s="21"/>
      <c r="GS271" s="21"/>
      <c r="GT271" s="21"/>
      <c r="GU271" s="168">
        <v>331151</v>
      </c>
      <c r="GV271" s="168">
        <v>111471</v>
      </c>
      <c r="GW271" s="168">
        <v>222300</v>
      </c>
      <c r="GX271" s="168">
        <v>101017</v>
      </c>
      <c r="GY271" s="21"/>
      <c r="GZ271" s="21"/>
      <c r="HA271" s="21"/>
      <c r="HB271" s="21"/>
      <c r="HC271" s="168">
        <v>3015921</v>
      </c>
      <c r="HD271" s="168">
        <v>2229194</v>
      </c>
      <c r="HE271" s="21"/>
      <c r="HF271" s="21"/>
      <c r="HG271" s="21"/>
      <c r="HH271" s="21"/>
      <c r="HI271" s="168">
        <v>109795</v>
      </c>
      <c r="HJ271" s="168">
        <v>106183</v>
      </c>
      <c r="HK271" s="21"/>
      <c r="HL271" s="21"/>
      <c r="HM271" s="21"/>
      <c r="HN271" s="21"/>
      <c r="HO271" s="21"/>
      <c r="HP271" s="21"/>
      <c r="HQ271" s="21"/>
      <c r="HR271" s="21"/>
      <c r="HS271" s="21"/>
      <c r="HT271" s="21"/>
      <c r="HU271" s="168">
        <v>1401720</v>
      </c>
      <c r="HV271" s="168">
        <v>1247421</v>
      </c>
      <c r="HW271" s="21"/>
      <c r="HX271" s="21"/>
      <c r="HY271" s="168">
        <v>6788</v>
      </c>
      <c r="HZ271" s="21"/>
      <c r="IA271" s="21"/>
      <c r="IB271" s="21"/>
      <c r="IC271" s="21"/>
      <c r="ID271" s="21"/>
      <c r="IE271" s="168">
        <v>1068273</v>
      </c>
      <c r="IF271" s="168">
        <v>1067250</v>
      </c>
      <c r="IG271" s="21"/>
      <c r="IH271" s="21"/>
      <c r="II271" s="21"/>
      <c r="IJ271" s="21"/>
      <c r="IK271" s="21"/>
      <c r="IL271" s="21"/>
      <c r="IM271" s="21"/>
      <c r="IN271" s="21"/>
      <c r="IO271" s="21"/>
      <c r="IP271" s="21"/>
      <c r="IQ271" s="21"/>
      <c r="IR271" s="21"/>
      <c r="IS271" s="21"/>
      <c r="IT271" s="21"/>
      <c r="IU271" s="168">
        <v>2664568</v>
      </c>
      <c r="IV271" s="168">
        <v>2552520</v>
      </c>
      <c r="IW271" s="168">
        <v>3046098</v>
      </c>
      <c r="IX271" s="168">
        <v>3030720</v>
      </c>
      <c r="IY271" s="168">
        <v>-370646</v>
      </c>
      <c r="IZ271" s="168">
        <v>-444306</v>
      </c>
      <c r="JA271" s="168">
        <v>496513</v>
      </c>
      <c r="JB271" s="168">
        <v>307429</v>
      </c>
      <c r="JC271" s="21"/>
      <c r="JD271" s="21"/>
      <c r="JE271" s="21"/>
      <c r="JF271" s="21"/>
      <c r="JG271" s="168">
        <v>6214</v>
      </c>
      <c r="JH271" s="21"/>
      <c r="JI271" s="168">
        <v>57136902</v>
      </c>
      <c r="JJ271" s="168">
        <v>53925</v>
      </c>
      <c r="JK271" s="168">
        <v>466615</v>
      </c>
      <c r="JL271" s="168">
        <v>512504</v>
      </c>
      <c r="JM271" s="168">
        <v>612522</v>
      </c>
      <c r="JN271" s="168">
        <v>413612</v>
      </c>
      <c r="JO271" s="168">
        <v>95969</v>
      </c>
      <c r="JP271" s="168">
        <v>68198</v>
      </c>
      <c r="JQ271" s="21"/>
      <c r="JR271" s="21"/>
      <c r="JS271" s="21"/>
      <c r="JT271" s="21"/>
      <c r="JU271" s="21"/>
      <c r="JV271" s="21"/>
      <c r="JW271" s="168">
        <v>59570478</v>
      </c>
      <c r="JX271" s="168">
        <v>56542732</v>
      </c>
      <c r="JY271" s="21"/>
      <c r="JZ271" s="21"/>
      <c r="KA271" s="21"/>
      <c r="KB271" s="21"/>
      <c r="KC271" s="21"/>
      <c r="KD271" s="21"/>
      <c r="KE271" s="21"/>
      <c r="KF271" s="21"/>
      <c r="KG271" s="21"/>
      <c r="KH271" s="21"/>
      <c r="KI271" s="168">
        <v>48537999</v>
      </c>
      <c r="KJ271" s="168">
        <v>45840694</v>
      </c>
      <c r="KK271" s="21"/>
      <c r="KL271" s="21"/>
      <c r="KM271" s="21"/>
      <c r="KN271" s="21"/>
      <c r="KO271" s="21"/>
      <c r="KP271" s="21"/>
      <c r="KQ271" s="168">
        <v>429751</v>
      </c>
      <c r="KR271" s="168">
        <v>330404</v>
      </c>
      <c r="KS271" s="21"/>
      <c r="KT271" s="21"/>
      <c r="KU271" s="21"/>
      <c r="KV271" s="21"/>
      <c r="KW271" s="21"/>
      <c r="KX271" s="21"/>
      <c r="KY271" s="21"/>
      <c r="KZ271" s="21"/>
      <c r="LA271" s="168">
        <v>40000</v>
      </c>
      <c r="LB271" s="168">
        <v>40000</v>
      </c>
      <c r="LC271" s="21"/>
      <c r="LD271" s="21"/>
      <c r="LE271" s="21"/>
      <c r="LF271" s="21"/>
      <c r="LG271" s="21"/>
      <c r="LH271" s="21"/>
      <c r="LI271" s="168">
        <v>2846187</v>
      </c>
      <c r="LJ271" s="168">
        <v>2772575</v>
      </c>
      <c r="LK271" s="168">
        <v>3678696</v>
      </c>
      <c r="LL271" s="168">
        <v>3102692</v>
      </c>
      <c r="LM271" s="168">
        <v>136631</v>
      </c>
      <c r="LN271" s="168">
        <v>526851</v>
      </c>
      <c r="LO271" s="21"/>
      <c r="LP271" s="21"/>
      <c r="LQ271" s="21"/>
      <c r="LR271" s="21"/>
      <c r="LS271" s="21"/>
      <c r="LT271" s="21"/>
      <c r="LU271" s="21"/>
      <c r="LV271" s="21"/>
      <c r="LW271" s="21"/>
      <c r="LX271" s="21"/>
      <c r="LY271" s="21"/>
      <c r="LZ271" s="21"/>
      <c r="MA271" s="21"/>
      <c r="MB271" s="21"/>
      <c r="MC271" s="168">
        <v>17073686</v>
      </c>
      <c r="MD271" s="168">
        <v>19076285</v>
      </c>
      <c r="ME271" s="21"/>
      <c r="MF271" s="21"/>
      <c r="MG271" s="21"/>
      <c r="MH271" s="21"/>
      <c r="MI271" s="21"/>
      <c r="MJ271" s="21"/>
      <c r="MK271" s="21"/>
      <c r="ML271" s="21"/>
      <c r="MM271" s="21"/>
      <c r="MN271" s="21"/>
      <c r="MO271" s="21"/>
      <c r="MP271" s="21"/>
      <c r="MQ271" s="21"/>
      <c r="MR271" s="21"/>
      <c r="MS271" s="168">
        <v>-1</v>
      </c>
      <c r="MT271" s="168">
        <v>-1</v>
      </c>
      <c r="MU271" s="21"/>
      <c r="MV271" s="21"/>
      <c r="MW271" s="21"/>
      <c r="MX271" s="21"/>
      <c r="MY271" s="21"/>
      <c r="MZ271" s="21"/>
      <c r="NA271" s="21"/>
      <c r="NB271" s="21"/>
      <c r="NC271" s="168">
        <v>1947625</v>
      </c>
      <c r="ND271" s="168">
        <v>1906719</v>
      </c>
      <c r="NE271" s="21"/>
      <c r="NF271" s="21"/>
      <c r="NG271" s="168">
        <v>15231053</v>
      </c>
      <c r="NH271" s="168">
        <v>13603830</v>
      </c>
      <c r="NI271" s="21"/>
      <c r="NJ271" s="21"/>
      <c r="NK271" s="21"/>
      <c r="NL271" s="21"/>
      <c r="NM271" s="21"/>
      <c r="NN271" s="21"/>
      <c r="NO271" s="168">
        <v>40009592</v>
      </c>
      <c r="NP271" s="168">
        <v>40011110</v>
      </c>
      <c r="NQ271" s="168" t="s">
        <v>1157</v>
      </c>
      <c r="NR271" s="168" t="s">
        <v>804</v>
      </c>
      <c r="NS271" s="168" t="s">
        <v>770</v>
      </c>
      <c r="NT271" s="168" t="s">
        <v>771</v>
      </c>
      <c r="NU271" s="168">
        <v>4001</v>
      </c>
      <c r="NV271" s="168" t="s">
        <v>2104</v>
      </c>
      <c r="NW271" s="168" t="s">
        <v>28</v>
      </c>
      <c r="NX271" s="168" t="s">
        <v>25</v>
      </c>
      <c r="NY271" s="169">
        <v>42766</v>
      </c>
      <c r="NZ271" s="169">
        <v>42400</v>
      </c>
      <c r="OA271" s="169">
        <v>42976</v>
      </c>
      <c r="OB271" s="168" t="s">
        <v>1158</v>
      </c>
      <c r="OC271" s="168">
        <v>12</v>
      </c>
      <c r="OD271" s="168" t="s">
        <v>2105</v>
      </c>
      <c r="OE271" s="168" t="s">
        <v>2118</v>
      </c>
      <c r="OF271" s="168" t="s">
        <v>2340</v>
      </c>
      <c r="OG271" s="168" t="s">
        <v>1906</v>
      </c>
      <c r="OH271" s="168" t="s">
        <v>791</v>
      </c>
      <c r="OI271" s="168" t="s">
        <v>766</v>
      </c>
      <c r="OJ271" s="168" t="s">
        <v>3240</v>
      </c>
      <c r="OK271" s="168" t="s">
        <v>803</v>
      </c>
    </row>
    <row r="272" spans="1:401" x14ac:dyDescent="0.2">
      <c r="A272" s="170" t="str">
        <f>Liste[[#This Row],[Siren]]</f>
        <v>532875028</v>
      </c>
      <c r="B272" s="198" t="str">
        <f>Liste[[#This Row],[Dénomination]]&amp;" - comptes "&amp;YEAR(Liste[[#This Row],[Date de cloture de l''exercice]])</f>
        <v>ACHERES EXPANSION - comptes 2017</v>
      </c>
      <c r="C272" s="21"/>
      <c r="D272" s="21"/>
      <c r="E272" s="21"/>
      <c r="F272" s="168">
        <v>2512355</v>
      </c>
      <c r="G272" s="168">
        <v>2586163</v>
      </c>
      <c r="H272" s="168">
        <v>2512355</v>
      </c>
      <c r="I272" s="168">
        <v>1681859</v>
      </c>
      <c r="J272" s="168">
        <v>1026086</v>
      </c>
      <c r="K272" s="168">
        <v>1238356</v>
      </c>
      <c r="L272" s="168">
        <v>2707945</v>
      </c>
      <c r="M272" s="21"/>
      <c r="N272" s="168">
        <v>11963</v>
      </c>
      <c r="O272" s="168">
        <v>11963</v>
      </c>
      <c r="P272" s="168">
        <v>11963</v>
      </c>
      <c r="Q272" s="21"/>
      <c r="R272" s="21"/>
      <c r="S272" s="21"/>
      <c r="T272" s="21"/>
      <c r="U272" s="21"/>
      <c r="V272" s="21"/>
      <c r="W272" s="21"/>
      <c r="X272" s="21"/>
      <c r="Y272" s="21"/>
      <c r="Z272" s="168">
        <v>1726795</v>
      </c>
      <c r="AA272" s="168">
        <v>1678942</v>
      </c>
      <c r="AB272" s="168">
        <v>1726795</v>
      </c>
      <c r="AC272" s="21"/>
      <c r="AD272" s="21"/>
      <c r="AE272" s="21"/>
      <c r="AF272" s="21"/>
      <c r="AG272" s="21"/>
      <c r="AH272" s="21"/>
      <c r="AI272" s="21"/>
      <c r="AJ272" s="21"/>
      <c r="AK272" s="21"/>
      <c r="AL272" s="168">
        <v>5047</v>
      </c>
      <c r="AM272" s="168">
        <v>2684</v>
      </c>
      <c r="AN272" s="168">
        <v>5047</v>
      </c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168">
        <v>311100</v>
      </c>
      <c r="BA272" s="168">
        <v>255105</v>
      </c>
      <c r="BB272" s="168">
        <v>311100</v>
      </c>
      <c r="BC272" s="168">
        <v>218249</v>
      </c>
      <c r="BD272" s="168">
        <v>399706</v>
      </c>
      <c r="BE272" s="168">
        <v>358784</v>
      </c>
      <c r="BF272" s="168">
        <v>617955</v>
      </c>
      <c r="BG272" s="168">
        <v>84650</v>
      </c>
      <c r="BH272" s="21"/>
      <c r="BI272" s="21"/>
      <c r="BJ272" s="168">
        <v>84650</v>
      </c>
      <c r="BK272" s="168">
        <v>6246097</v>
      </c>
      <c r="BL272" s="168">
        <v>16717291</v>
      </c>
      <c r="BM272" s="168">
        <v>17888110</v>
      </c>
      <c r="BN272" s="168">
        <v>22963388</v>
      </c>
      <c r="BO272" s="21"/>
      <c r="BP272" s="21"/>
      <c r="BQ272" s="21"/>
      <c r="BR272" s="21"/>
      <c r="BS272" s="21"/>
      <c r="BT272" s="21"/>
      <c r="BU272" s="21"/>
      <c r="BV272" s="21"/>
      <c r="BW272" s="21"/>
      <c r="BX272" s="168">
        <v>471688</v>
      </c>
      <c r="BY272" s="168">
        <v>715596</v>
      </c>
      <c r="BZ272" s="168">
        <v>471688</v>
      </c>
      <c r="CA272" s="21"/>
      <c r="CB272" s="21"/>
      <c r="CC272" s="21"/>
      <c r="CD272" s="168">
        <v>3203987</v>
      </c>
      <c r="CE272" s="168">
        <v>8830521</v>
      </c>
      <c r="CF272" s="168">
        <v>9432239</v>
      </c>
      <c r="CG272" s="168">
        <v>12034508</v>
      </c>
      <c r="CH272" s="21"/>
      <c r="CI272" s="21"/>
      <c r="CJ272" s="21"/>
      <c r="CK272" s="21"/>
      <c r="CL272" s="21"/>
      <c r="CM272" s="21"/>
      <c r="CN272" s="21"/>
      <c r="CO272" s="21"/>
      <c r="CP272" s="21"/>
      <c r="CQ272" s="21"/>
      <c r="CR272" s="21"/>
      <c r="CS272" s="21"/>
      <c r="CT272" s="21"/>
      <c r="CU272" s="21"/>
      <c r="CV272" s="21"/>
      <c r="CW272" s="21"/>
      <c r="CX272" s="21"/>
      <c r="CY272" s="21"/>
      <c r="CZ272" s="21"/>
      <c r="DA272" s="21"/>
      <c r="DB272" s="21"/>
      <c r="DC272" s="21"/>
      <c r="DD272" s="21"/>
      <c r="DE272" s="21"/>
      <c r="DF272" s="168">
        <v>3022736</v>
      </c>
      <c r="DG272" s="168">
        <v>830588</v>
      </c>
      <c r="DH272" s="168">
        <v>1008053</v>
      </c>
      <c r="DI272" s="168">
        <v>3853324</v>
      </c>
      <c r="DJ272" s="168">
        <v>16330</v>
      </c>
      <c r="DK272" s="168">
        <v>3302000</v>
      </c>
      <c r="DL272" s="168">
        <v>3327796</v>
      </c>
      <c r="DM272" s="168">
        <v>3318330</v>
      </c>
      <c r="DN272" s="21"/>
      <c r="DO272" s="21"/>
      <c r="DP272" s="21"/>
      <c r="DQ272" s="21"/>
      <c r="DR272" s="21"/>
      <c r="DS272" s="21"/>
      <c r="DT272" s="21"/>
      <c r="DU272" s="21"/>
      <c r="DV272" s="21"/>
      <c r="DW272" s="168">
        <v>3561</v>
      </c>
      <c r="DX272" s="168">
        <v>461</v>
      </c>
      <c r="DY272" s="168">
        <v>3561</v>
      </c>
      <c r="DZ272" s="21"/>
      <c r="EA272" s="21"/>
      <c r="EB272" s="21"/>
      <c r="EC272" s="21"/>
      <c r="ED272" s="21"/>
      <c r="EE272" s="21"/>
      <c r="EF272" s="21"/>
      <c r="EG272" s="21"/>
      <c r="EH272" s="21"/>
      <c r="EI272" s="21"/>
      <c r="EJ272" s="21"/>
      <c r="EK272" s="168">
        <v>11039924</v>
      </c>
      <c r="EL272" s="168">
        <v>23480942</v>
      </c>
      <c r="EM272" s="168">
        <v>24991041</v>
      </c>
      <c r="EN272" s="168">
        <v>34520866</v>
      </c>
      <c r="EO272" s="168">
        <v>234579</v>
      </c>
      <c r="EP272" s="168">
        <v>7051330</v>
      </c>
      <c r="EQ272" s="168">
        <v>7331576</v>
      </c>
      <c r="ER272" s="168">
        <v>7285909</v>
      </c>
      <c r="ES272" s="168">
        <v>14478490</v>
      </c>
      <c r="ET272" s="168">
        <v>39362795</v>
      </c>
      <c r="EU272" s="168">
        <v>41754854</v>
      </c>
      <c r="EV272" s="168">
        <v>53841285</v>
      </c>
      <c r="EW272" s="168">
        <v>4582</v>
      </c>
      <c r="EX272" s="168">
        <v>3149358</v>
      </c>
      <c r="EY272" s="168">
        <v>3149856</v>
      </c>
      <c r="EZ272" s="168">
        <v>3153940</v>
      </c>
      <c r="FA272" s="21"/>
      <c r="FB272" s="21"/>
      <c r="FC272" s="21"/>
      <c r="FD272" s="21"/>
      <c r="FE272" s="21"/>
      <c r="FF272" s="21"/>
      <c r="FG272" s="168">
        <v>20946</v>
      </c>
      <c r="FH272" s="21"/>
      <c r="FI272" s="168">
        <v>4821</v>
      </c>
      <c r="FJ272" s="168">
        <v>-44275</v>
      </c>
      <c r="FK272" s="168">
        <v>-153586</v>
      </c>
      <c r="FL272" s="168">
        <v>-164742</v>
      </c>
      <c r="FM272" s="168">
        <v>294</v>
      </c>
      <c r="FN272" s="168">
        <v>175965</v>
      </c>
      <c r="FO272" s="21"/>
      <c r="FP272" s="168">
        <v>95471</v>
      </c>
      <c r="FQ272" s="168">
        <v>601718</v>
      </c>
      <c r="FR272" s="168">
        <v>602846</v>
      </c>
      <c r="FS272" s="21"/>
      <c r="FT272" s="21"/>
      <c r="FU272" s="168">
        <v>-40920</v>
      </c>
      <c r="FV272" s="168">
        <v>-67734</v>
      </c>
      <c r="FW272" s="168">
        <v>-112666</v>
      </c>
      <c r="FX272" s="168">
        <v>-97008</v>
      </c>
      <c r="FY272" s="168">
        <v>299</v>
      </c>
      <c r="FZ272" s="168">
        <v>306</v>
      </c>
      <c r="GA272" s="21"/>
      <c r="GB272" s="21"/>
      <c r="GC272" s="168">
        <v>1200</v>
      </c>
      <c r="GD272" s="168">
        <v>1200</v>
      </c>
      <c r="GE272" s="168">
        <v>3915</v>
      </c>
      <c r="GF272" s="168">
        <v>55509</v>
      </c>
      <c r="GG272" s="21"/>
      <c r="GH272" s="21"/>
      <c r="GI272" s="21"/>
      <c r="GJ272" s="21"/>
      <c r="GK272" s="21"/>
      <c r="GL272" s="168">
        <v>170452</v>
      </c>
      <c r="GM272" s="168">
        <v>-199865</v>
      </c>
      <c r="GN272" s="168">
        <v>-232898</v>
      </c>
      <c r="GO272" s="168">
        <v>401854</v>
      </c>
      <c r="GP272" s="168">
        <v>369949</v>
      </c>
      <c r="GQ272" s="21"/>
      <c r="GR272" s="21"/>
      <c r="GS272" s="168">
        <v>-200164</v>
      </c>
      <c r="GT272" s="168">
        <v>-233204</v>
      </c>
      <c r="GU272" s="168">
        <v>294</v>
      </c>
      <c r="GV272" s="168">
        <v>271436</v>
      </c>
      <c r="GW272" s="168">
        <v>5115</v>
      </c>
      <c r="GX272" s="168">
        <v>227161</v>
      </c>
      <c r="GY272" s="168">
        <v>45856252</v>
      </c>
      <c r="GZ272" s="168">
        <v>47647169</v>
      </c>
      <c r="HA272" s="168">
        <v>70619</v>
      </c>
      <c r="HB272" s="168">
        <v>77303</v>
      </c>
      <c r="HC272" s="168">
        <v>4383789</v>
      </c>
      <c r="HD272" s="168">
        <v>4336356</v>
      </c>
      <c r="HE272" s="168">
        <v>199302</v>
      </c>
      <c r="HF272" s="168">
        <v>6704</v>
      </c>
      <c r="HG272" s="168">
        <v>15830</v>
      </c>
      <c r="HH272" s="168">
        <v>13231</v>
      </c>
      <c r="HI272" s="168">
        <v>43774</v>
      </c>
      <c r="HJ272" s="168">
        <v>24346</v>
      </c>
      <c r="HK272" s="168">
        <v>1576</v>
      </c>
      <c r="HL272" s="21"/>
      <c r="HM272" s="21"/>
      <c r="HN272" s="21"/>
      <c r="HO272" s="168">
        <v>1340928</v>
      </c>
      <c r="HP272" s="168">
        <v>1390630</v>
      </c>
      <c r="HQ272" s="168">
        <v>6</v>
      </c>
      <c r="HR272" s="21"/>
      <c r="HS272" s="21"/>
      <c r="HT272" s="168">
        <v>16</v>
      </c>
      <c r="HU272" s="168">
        <v>1710575</v>
      </c>
      <c r="HV272" s="168">
        <v>1798148</v>
      </c>
      <c r="HW272" s="21"/>
      <c r="HX272" s="21"/>
      <c r="HY272" s="168">
        <v>12474</v>
      </c>
      <c r="HZ272" s="168">
        <v>22328</v>
      </c>
      <c r="IA272" s="168">
        <v>119914</v>
      </c>
      <c r="IB272" s="168">
        <v>51354</v>
      </c>
      <c r="IC272" s="21"/>
      <c r="ID272" s="21"/>
      <c r="IE272" s="168">
        <v>1033268</v>
      </c>
      <c r="IF272" s="168">
        <v>817979</v>
      </c>
      <c r="IG272" s="168">
        <v>686135</v>
      </c>
      <c r="IH272" s="168">
        <v>757845</v>
      </c>
      <c r="II272" s="168">
        <v>299</v>
      </c>
      <c r="IJ272" s="168">
        <v>137</v>
      </c>
      <c r="IK272" s="21"/>
      <c r="IL272" s="21"/>
      <c r="IM272" s="21"/>
      <c r="IN272" s="21"/>
      <c r="IO272" s="21"/>
      <c r="IP272" s="21"/>
      <c r="IQ272" s="168">
        <v>883</v>
      </c>
      <c r="IR272" s="168">
        <v>71</v>
      </c>
      <c r="IS272" s="21"/>
      <c r="IT272" s="21"/>
      <c r="IU272" s="168">
        <v>243447</v>
      </c>
      <c r="IV272" s="168">
        <v>249482</v>
      </c>
      <c r="IW272" s="168">
        <v>911592</v>
      </c>
      <c r="IX272" s="168">
        <v>932350</v>
      </c>
      <c r="IY272" s="168">
        <v>-669422</v>
      </c>
      <c r="IZ272" s="168">
        <v>-682731</v>
      </c>
      <c r="JA272" s="168">
        <v>424370</v>
      </c>
      <c r="JB272" s="168">
        <v>163149</v>
      </c>
      <c r="JC272" s="21"/>
      <c r="JD272" s="168">
        <v>61796</v>
      </c>
      <c r="JE272" s="168">
        <v>4041028</v>
      </c>
      <c r="JF272" s="168">
        <v>4184780</v>
      </c>
      <c r="JG272" s="168">
        <v>24726</v>
      </c>
      <c r="JH272" s="168">
        <v>1895</v>
      </c>
      <c r="JI272" s="168">
        <v>58785075</v>
      </c>
      <c r="JJ272" s="168">
        <v>60130620</v>
      </c>
      <c r="JK272" s="168">
        <v>686135</v>
      </c>
      <c r="JL272" s="168">
        <v>-682731</v>
      </c>
      <c r="JM272" s="168">
        <v>492870</v>
      </c>
      <c r="JN272" s="168">
        <v>189390</v>
      </c>
      <c r="JO272" s="168">
        <v>16713</v>
      </c>
      <c r="JP272" s="168">
        <v>75116</v>
      </c>
      <c r="JQ272" s="168">
        <v>16926</v>
      </c>
      <c r="JR272" s="168">
        <v>-202131</v>
      </c>
      <c r="JS272" s="21"/>
      <c r="JT272" s="21"/>
      <c r="JU272" s="21"/>
      <c r="JV272" s="21"/>
      <c r="JW272" s="168">
        <v>59203797</v>
      </c>
      <c r="JX272" s="168">
        <v>60873580</v>
      </c>
      <c r="JY272" s="21"/>
      <c r="JZ272" s="21"/>
      <c r="KA272" s="168">
        <v>3270690</v>
      </c>
      <c r="KB272" s="168">
        <v>2686414</v>
      </c>
      <c r="KC272" s="21"/>
      <c r="KD272" s="21"/>
      <c r="KE272" s="168">
        <v>1946855</v>
      </c>
      <c r="KF272" s="168">
        <v>2114210</v>
      </c>
      <c r="KG272" s="21"/>
      <c r="KH272" s="21"/>
      <c r="KI272" s="168">
        <v>53986252</v>
      </c>
      <c r="KJ272" s="168">
        <v>56072956</v>
      </c>
      <c r="KK272" s="21"/>
      <c r="KL272" s="21"/>
      <c r="KM272" s="21"/>
      <c r="KN272" s="21"/>
      <c r="KO272" s="21"/>
      <c r="KP272" s="21"/>
      <c r="KQ272" s="168">
        <v>143012</v>
      </c>
      <c r="KR272" s="168">
        <v>172137</v>
      </c>
      <c r="KS272" s="21"/>
      <c r="KT272" s="21"/>
      <c r="KU272" s="21"/>
      <c r="KV272" s="21"/>
      <c r="KW272" s="21"/>
      <c r="KX272" s="21"/>
      <c r="KY272" s="168">
        <v>165763</v>
      </c>
      <c r="KZ272" s="168">
        <v>164524</v>
      </c>
      <c r="LA272" s="168">
        <v>40000</v>
      </c>
      <c r="LB272" s="168">
        <v>40000</v>
      </c>
      <c r="LC272" s="21"/>
      <c r="LD272" s="21"/>
      <c r="LE272" s="21"/>
      <c r="LF272" s="21"/>
      <c r="LG272" s="21"/>
      <c r="LH272" s="21"/>
      <c r="LI272" s="168">
        <v>1203486</v>
      </c>
      <c r="LJ272" s="168">
        <v>1370665</v>
      </c>
      <c r="LK272" s="168">
        <v>4134061</v>
      </c>
      <c r="LL272" s="168">
        <v>4336444</v>
      </c>
      <c r="LM272" s="168">
        <v>96787</v>
      </c>
      <c r="LN272" s="168">
        <v>66160</v>
      </c>
      <c r="LO272" s="21"/>
      <c r="LP272" s="21"/>
      <c r="LQ272" s="21"/>
      <c r="LR272" s="21"/>
      <c r="LS272" s="21"/>
      <c r="LT272" s="21"/>
      <c r="LU272" s="21"/>
      <c r="LV272" s="21"/>
      <c r="LW272" s="21"/>
      <c r="LX272" s="21"/>
      <c r="LY272" s="21"/>
      <c r="LZ272" s="21"/>
      <c r="MA272" s="168">
        <v>18175727</v>
      </c>
      <c r="MB272" s="168">
        <v>18859479</v>
      </c>
      <c r="MC272" s="168">
        <v>186502</v>
      </c>
      <c r="MD272" s="168">
        <v>192272</v>
      </c>
      <c r="ME272" s="21"/>
      <c r="MF272" s="21"/>
      <c r="MG272" s="168">
        <v>725944</v>
      </c>
      <c r="MH272" s="168">
        <v>781931</v>
      </c>
      <c r="MI272" s="21"/>
      <c r="MJ272" s="21"/>
      <c r="MK272" s="21"/>
      <c r="ML272" s="21"/>
      <c r="MM272" s="168">
        <v>2915</v>
      </c>
      <c r="MN272" s="168">
        <v>16400</v>
      </c>
      <c r="MO272" s="168">
        <v>121668</v>
      </c>
      <c r="MP272" s="168">
        <v>169218</v>
      </c>
      <c r="MQ272" s="168">
        <v>29428</v>
      </c>
      <c r="MR272" s="168">
        <v>63428</v>
      </c>
      <c r="MS272" s="21"/>
      <c r="MT272" s="21"/>
      <c r="MU272" s="21"/>
      <c r="MV272" s="21"/>
      <c r="MW272" s="21"/>
      <c r="MX272" s="21"/>
      <c r="MY272" s="21"/>
      <c r="MZ272" s="21"/>
      <c r="NA272" s="21"/>
      <c r="NB272" s="21"/>
      <c r="NC272" s="168">
        <v>-200164</v>
      </c>
      <c r="ND272" s="168">
        <v>-233204</v>
      </c>
      <c r="NE272" s="21"/>
      <c r="NF272" s="21"/>
      <c r="NG272" s="168">
        <v>-2077683</v>
      </c>
      <c r="NH272" s="168">
        <v>-1877520</v>
      </c>
      <c r="NI272" s="21"/>
      <c r="NJ272" s="21"/>
      <c r="NK272" s="21"/>
      <c r="NL272" s="21"/>
      <c r="NM272" s="21"/>
      <c r="NN272" s="21"/>
      <c r="NO272" s="168">
        <v>39362795</v>
      </c>
      <c r="NP272" s="168">
        <v>41754854</v>
      </c>
      <c r="NQ272" s="168" t="s">
        <v>883</v>
      </c>
      <c r="NR272" s="168" t="s">
        <v>823</v>
      </c>
      <c r="NS272" s="168" t="s">
        <v>770</v>
      </c>
      <c r="NT272" s="168" t="s">
        <v>771</v>
      </c>
      <c r="NU272" s="168">
        <v>7803</v>
      </c>
      <c r="NV272" s="168" t="s">
        <v>2104</v>
      </c>
      <c r="NW272" s="168" t="s">
        <v>28</v>
      </c>
      <c r="NX272" s="168" t="s">
        <v>25</v>
      </c>
      <c r="NY272" s="169">
        <v>42766</v>
      </c>
      <c r="NZ272" s="169">
        <v>42400</v>
      </c>
      <c r="OA272" s="169">
        <v>42972</v>
      </c>
      <c r="OB272" s="168" t="s">
        <v>884</v>
      </c>
      <c r="OC272" s="168">
        <v>12</v>
      </c>
      <c r="OD272" s="168" t="s">
        <v>2106</v>
      </c>
      <c r="OE272" s="168" t="s">
        <v>2140</v>
      </c>
      <c r="OF272" s="168" t="s">
        <v>2142</v>
      </c>
      <c r="OG272" s="168" t="s">
        <v>1826</v>
      </c>
      <c r="OH272" s="168" t="s">
        <v>795</v>
      </c>
      <c r="OI272" s="168" t="s">
        <v>766</v>
      </c>
      <c r="OJ272" s="168" t="s">
        <v>3240</v>
      </c>
      <c r="OK272" s="168" t="s">
        <v>822</v>
      </c>
    </row>
    <row r="273" spans="1:401" x14ac:dyDescent="0.2">
      <c r="A273" s="170" t="str">
        <f>Liste[[#This Row],[Siren]]</f>
        <v>490538576</v>
      </c>
      <c r="B273" s="198" t="str">
        <f>Liste[[#This Row],[Dénomination]]&amp;" - comptes "&amp;YEAR(Liste[[#This Row],[Date de cloture de l''exercice]])</f>
        <v>SAS GATHIC - comptes 2017</v>
      </c>
      <c r="C273" s="21"/>
      <c r="D273" s="21"/>
      <c r="E273" s="21"/>
      <c r="F273" s="168">
        <v>4061642</v>
      </c>
      <c r="G273" s="168">
        <v>3476879</v>
      </c>
      <c r="H273" s="168">
        <v>4061642</v>
      </c>
      <c r="I273" s="168">
        <v>2268197</v>
      </c>
      <c r="J273" s="168">
        <v>485300</v>
      </c>
      <c r="K273" s="168">
        <v>614910</v>
      </c>
      <c r="L273" s="168">
        <v>2753497</v>
      </c>
      <c r="M273" s="21"/>
      <c r="N273" s="168">
        <v>44643</v>
      </c>
      <c r="O273" s="168">
        <v>42432</v>
      </c>
      <c r="P273" s="168">
        <v>44643</v>
      </c>
      <c r="Q273" s="21"/>
      <c r="R273" s="21"/>
      <c r="S273" s="21"/>
      <c r="T273" s="21"/>
      <c r="U273" s="21"/>
      <c r="V273" s="21"/>
      <c r="W273" s="21"/>
      <c r="X273" s="21"/>
      <c r="Y273" s="21"/>
      <c r="Z273" s="168">
        <v>2419462</v>
      </c>
      <c r="AA273" s="168">
        <v>2245081</v>
      </c>
      <c r="AB273" s="168">
        <v>2419462</v>
      </c>
      <c r="AC273" s="21"/>
      <c r="AD273" s="21"/>
      <c r="AE273" s="21"/>
      <c r="AF273" s="21"/>
      <c r="AG273" s="21"/>
      <c r="AH273" s="21"/>
      <c r="AI273" s="21"/>
      <c r="AJ273" s="21"/>
      <c r="AK273" s="21"/>
      <c r="AL273" s="168">
        <v>249460</v>
      </c>
      <c r="AM273" s="168">
        <v>3000</v>
      </c>
      <c r="AN273" s="168">
        <v>249460</v>
      </c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168">
        <v>669592</v>
      </c>
      <c r="BA273" s="168">
        <v>850363</v>
      </c>
      <c r="BB273" s="168">
        <v>669592</v>
      </c>
      <c r="BC273" s="168">
        <v>149173</v>
      </c>
      <c r="BD273" s="168">
        <v>1867075</v>
      </c>
      <c r="BE273" s="168">
        <v>1809535</v>
      </c>
      <c r="BF273" s="168">
        <v>2016249</v>
      </c>
      <c r="BG273" s="168">
        <v>128721</v>
      </c>
      <c r="BH273" s="168">
        <v>1265</v>
      </c>
      <c r="BI273" s="21"/>
      <c r="BJ273" s="168">
        <v>129987</v>
      </c>
      <c r="BK273" s="168">
        <v>42158487</v>
      </c>
      <c r="BL273" s="168">
        <v>15801556</v>
      </c>
      <c r="BM273" s="168">
        <v>18200570</v>
      </c>
      <c r="BN273" s="168">
        <v>57960043</v>
      </c>
      <c r="BO273" s="21"/>
      <c r="BP273" s="21"/>
      <c r="BQ273" s="21"/>
      <c r="BR273" s="21"/>
      <c r="BS273" s="21"/>
      <c r="BT273" s="21"/>
      <c r="BU273" s="21"/>
      <c r="BV273" s="21"/>
      <c r="BW273" s="21"/>
      <c r="BX273" s="168">
        <v>1448705</v>
      </c>
      <c r="BY273" s="168">
        <v>2717912</v>
      </c>
      <c r="BZ273" s="168">
        <v>1448705</v>
      </c>
      <c r="CA273" s="21"/>
      <c r="CB273" s="21"/>
      <c r="CC273" s="21"/>
      <c r="CD273" s="21"/>
      <c r="CE273" s="21"/>
      <c r="CF273" s="21"/>
      <c r="CG273" s="21"/>
      <c r="CH273" s="21"/>
      <c r="CI273" s="21"/>
      <c r="CJ273" s="21"/>
      <c r="CK273" s="21"/>
      <c r="CL273" s="21"/>
      <c r="CM273" s="21"/>
      <c r="CN273" s="21"/>
      <c r="CO273" s="21"/>
      <c r="CP273" s="21"/>
      <c r="CQ273" s="168">
        <v>8087924</v>
      </c>
      <c r="CR273" s="168">
        <v>8087924</v>
      </c>
      <c r="CS273" s="168">
        <v>8087924</v>
      </c>
      <c r="CT273" s="21"/>
      <c r="CU273" s="21"/>
      <c r="CV273" s="21"/>
      <c r="CW273" s="21"/>
      <c r="CX273" s="21"/>
      <c r="CY273" s="21"/>
      <c r="CZ273" s="21"/>
      <c r="DA273" s="21"/>
      <c r="DB273" s="21"/>
      <c r="DC273" s="168">
        <v>72929</v>
      </c>
      <c r="DD273" s="168">
        <v>104000</v>
      </c>
      <c r="DE273" s="168">
        <v>72929</v>
      </c>
      <c r="DF273" s="168">
        <v>7540150</v>
      </c>
      <c r="DG273" s="168">
        <v>2253814</v>
      </c>
      <c r="DH273" s="168">
        <v>2496606</v>
      </c>
      <c r="DI273" s="168">
        <v>9793965</v>
      </c>
      <c r="DJ273" s="21"/>
      <c r="DK273" s="168">
        <v>9785166</v>
      </c>
      <c r="DL273" s="168">
        <v>10548366</v>
      </c>
      <c r="DM273" s="168">
        <v>9785166</v>
      </c>
      <c r="DN273" s="21"/>
      <c r="DO273" s="168">
        <v>22024</v>
      </c>
      <c r="DP273" s="168">
        <v>24296</v>
      </c>
      <c r="DQ273" s="168">
        <v>22024</v>
      </c>
      <c r="DR273" s="21"/>
      <c r="DS273" s="21"/>
      <c r="DT273" s="21"/>
      <c r="DU273" s="21"/>
      <c r="DV273" s="21"/>
      <c r="DW273" s="168">
        <v>424114</v>
      </c>
      <c r="DX273" s="168">
        <v>395862</v>
      </c>
      <c r="DY273" s="168">
        <v>424114</v>
      </c>
      <c r="DZ273" s="21"/>
      <c r="EA273" s="21"/>
      <c r="EB273" s="21"/>
      <c r="EC273" s="21"/>
      <c r="ED273" s="21"/>
      <c r="EE273" s="21"/>
      <c r="EF273" s="21"/>
      <c r="EG273" s="21"/>
      <c r="EH273" s="21"/>
      <c r="EI273" s="21"/>
      <c r="EJ273" s="21"/>
      <c r="EK273" s="168">
        <v>52142679</v>
      </c>
      <c r="EL273" s="168">
        <v>35610748</v>
      </c>
      <c r="EM273" s="168">
        <v>38216436</v>
      </c>
      <c r="EN273" s="168">
        <v>87753428</v>
      </c>
      <c r="EO273" s="168">
        <v>149173</v>
      </c>
      <c r="EP273" s="168">
        <v>19192418</v>
      </c>
      <c r="EQ273" s="168">
        <v>20944567</v>
      </c>
      <c r="ER273" s="168">
        <v>19341592</v>
      </c>
      <c r="ES273" s="168">
        <v>52291853</v>
      </c>
      <c r="ET273" s="168">
        <v>54803167</v>
      </c>
      <c r="EU273" s="168">
        <v>59161003</v>
      </c>
      <c r="EV273" s="168">
        <v>107095020</v>
      </c>
      <c r="EW273" s="168">
        <v>47122</v>
      </c>
      <c r="EX273" s="168">
        <v>6015926</v>
      </c>
      <c r="EY273" s="168">
        <v>6025235</v>
      </c>
      <c r="EZ273" s="168">
        <v>6063049</v>
      </c>
      <c r="FA273" s="21"/>
      <c r="FB273" s="21"/>
      <c r="FC273" s="21"/>
      <c r="FD273" s="21"/>
      <c r="FE273" s="21"/>
      <c r="FF273" s="21"/>
      <c r="FG273" s="21"/>
      <c r="FH273" s="21"/>
      <c r="FI273" s="168">
        <v>10387</v>
      </c>
      <c r="FJ273" s="168">
        <v>-208816</v>
      </c>
      <c r="FK273" s="21"/>
      <c r="FL273" s="21"/>
      <c r="FM273" s="168">
        <v>10012</v>
      </c>
      <c r="FN273" s="21"/>
      <c r="FO273" s="21"/>
      <c r="FP273" s="168">
        <v>17026</v>
      </c>
      <c r="FQ273" s="21"/>
      <c r="FR273" s="21"/>
      <c r="FS273" s="21"/>
      <c r="FT273" s="168">
        <v>223500</v>
      </c>
      <c r="FU273" s="168">
        <v>-582512</v>
      </c>
      <c r="FV273" s="168">
        <v>-452542</v>
      </c>
      <c r="FW273" s="168">
        <v>1379104</v>
      </c>
      <c r="FX273" s="168">
        <v>1100802</v>
      </c>
      <c r="FY273" s="168">
        <v>2561</v>
      </c>
      <c r="FZ273" s="168">
        <v>1970</v>
      </c>
      <c r="GA273" s="21"/>
      <c r="GB273" s="21"/>
      <c r="GC273" s="168">
        <v>19566</v>
      </c>
      <c r="GD273" s="21"/>
      <c r="GE273" s="168">
        <v>833</v>
      </c>
      <c r="GF273" s="168">
        <v>31710</v>
      </c>
      <c r="GG273" s="21"/>
      <c r="GH273" s="21"/>
      <c r="GI273" s="21"/>
      <c r="GJ273" s="21"/>
      <c r="GK273" s="21"/>
      <c r="GL273" s="21"/>
      <c r="GM273" s="168">
        <v>2283197</v>
      </c>
      <c r="GN273" s="168">
        <v>1740075</v>
      </c>
      <c r="GO273" s="168">
        <v>2283197</v>
      </c>
      <c r="GP273" s="168">
        <v>1740075</v>
      </c>
      <c r="GQ273" s="21"/>
      <c r="GR273" s="21"/>
      <c r="GS273" s="168">
        <v>2280636</v>
      </c>
      <c r="GT273" s="168">
        <v>1738105</v>
      </c>
      <c r="GU273" s="168">
        <v>10012</v>
      </c>
      <c r="GV273" s="168">
        <v>240526</v>
      </c>
      <c r="GW273" s="168">
        <v>20399</v>
      </c>
      <c r="GX273" s="168">
        <v>31710</v>
      </c>
      <c r="GY273" s="168">
        <v>87779727</v>
      </c>
      <c r="GZ273" s="168">
        <v>91027091</v>
      </c>
      <c r="HA273" s="168">
        <v>292611</v>
      </c>
      <c r="HB273" s="168">
        <v>238323</v>
      </c>
      <c r="HC273" s="168">
        <v>9199106</v>
      </c>
      <c r="HD273" s="168">
        <v>9132186</v>
      </c>
      <c r="HE273" s="21"/>
      <c r="HF273" s="21"/>
      <c r="HG273" s="168">
        <v>8320</v>
      </c>
      <c r="HH273" s="168">
        <v>11699</v>
      </c>
      <c r="HI273" s="168">
        <v>88217</v>
      </c>
      <c r="HJ273" s="168">
        <v>106783</v>
      </c>
      <c r="HK273" s="21"/>
      <c r="HL273" s="21"/>
      <c r="HM273" s="168">
        <v>7</v>
      </c>
      <c r="HN273" s="21"/>
      <c r="HO273" s="168">
        <v>3306147</v>
      </c>
      <c r="HP273" s="168">
        <v>3236572</v>
      </c>
      <c r="HQ273" s="21"/>
      <c r="HR273" s="21"/>
      <c r="HS273" s="21"/>
      <c r="HT273" s="21"/>
      <c r="HU273" s="168">
        <v>4035172</v>
      </c>
      <c r="HV273" s="168">
        <v>3791736</v>
      </c>
      <c r="HW273" s="168">
        <v>149173</v>
      </c>
      <c r="HX273" s="168">
        <v>6633</v>
      </c>
      <c r="HY273" s="168">
        <v>269082</v>
      </c>
      <c r="HZ273" s="168">
        <v>39266</v>
      </c>
      <c r="IA273" s="168">
        <v>5000</v>
      </c>
      <c r="IB273" s="168">
        <v>206000</v>
      </c>
      <c r="IC273" s="21"/>
      <c r="ID273" s="168">
        <v>5</v>
      </c>
      <c r="IE273" s="168">
        <v>2131915</v>
      </c>
      <c r="IF273" s="168">
        <v>2164382</v>
      </c>
      <c r="IG273" s="168">
        <v>174784</v>
      </c>
      <c r="IH273" s="168">
        <v>266690</v>
      </c>
      <c r="II273" s="21"/>
      <c r="IJ273" s="21"/>
      <c r="IK273" s="21"/>
      <c r="IL273" s="21"/>
      <c r="IM273" s="21"/>
      <c r="IN273" s="21"/>
      <c r="IO273" s="168">
        <v>8271</v>
      </c>
      <c r="IP273" s="168">
        <v>9826</v>
      </c>
      <c r="IQ273" s="168">
        <v>1894</v>
      </c>
      <c r="IR273" s="168">
        <v>932</v>
      </c>
      <c r="IS273" s="168">
        <v>247</v>
      </c>
      <c r="IT273" s="168">
        <v>364</v>
      </c>
      <c r="IU273" s="168">
        <v>3069402</v>
      </c>
      <c r="IV273" s="168">
        <v>2597152</v>
      </c>
      <c r="IW273" s="168">
        <v>3225456</v>
      </c>
      <c r="IX273" s="168">
        <v>2841026</v>
      </c>
      <c r="IY273" s="168">
        <v>-156053</v>
      </c>
      <c r="IZ273" s="168">
        <v>-243873</v>
      </c>
      <c r="JA273" s="168">
        <v>325438</v>
      </c>
      <c r="JB273" s="168">
        <v>123082</v>
      </c>
      <c r="JC273" s="168">
        <v>5</v>
      </c>
      <c r="JD273" s="21"/>
      <c r="JE273" s="168">
        <v>10688833</v>
      </c>
      <c r="JF273" s="168">
        <v>10503975</v>
      </c>
      <c r="JG273" s="21"/>
      <c r="JH273" s="21"/>
      <c r="JI273" s="168">
        <v>118622242</v>
      </c>
      <c r="JJ273" s="168">
        <v>119979946</v>
      </c>
      <c r="JK273" s="168">
        <v>174792</v>
      </c>
      <c r="JL273" s="168">
        <v>266696</v>
      </c>
      <c r="JM273" s="168">
        <v>121847698</v>
      </c>
      <c r="JN273" s="168">
        <v>122820972</v>
      </c>
      <c r="JO273" s="168">
        <v>18739</v>
      </c>
      <c r="JP273" s="168">
        <v>22822</v>
      </c>
      <c r="JQ273" s="168">
        <v>763199</v>
      </c>
      <c r="JR273" s="168">
        <v>-368447</v>
      </c>
      <c r="JS273" s="168">
        <v>2272</v>
      </c>
      <c r="JT273" s="168">
        <v>2224</v>
      </c>
      <c r="JU273" s="21"/>
      <c r="JV273" s="21"/>
      <c r="JW273" s="168">
        <v>121434041</v>
      </c>
      <c r="JX273" s="168">
        <v>122591105</v>
      </c>
      <c r="JY273" s="21"/>
      <c r="JZ273" s="21"/>
      <c r="KA273" s="168">
        <v>103495</v>
      </c>
      <c r="KB273" s="168">
        <v>94872</v>
      </c>
      <c r="KC273" s="21"/>
      <c r="KD273" s="21"/>
      <c r="KE273" s="168">
        <v>5377533</v>
      </c>
      <c r="KF273" s="168">
        <v>5282698</v>
      </c>
      <c r="KG273" s="21"/>
      <c r="KH273" s="21"/>
      <c r="KI273" s="168">
        <v>115953012</v>
      </c>
      <c r="KJ273" s="168">
        <v>117213534</v>
      </c>
      <c r="KK273" s="21"/>
      <c r="KL273" s="21"/>
      <c r="KM273" s="21"/>
      <c r="KN273" s="21"/>
      <c r="KO273" s="21"/>
      <c r="KP273" s="21"/>
      <c r="KQ273" s="168">
        <v>198716</v>
      </c>
      <c r="KR273" s="168">
        <v>199829</v>
      </c>
      <c r="KS273" s="21"/>
      <c r="KT273" s="21"/>
      <c r="KU273" s="21"/>
      <c r="KV273" s="21"/>
      <c r="KW273" s="21"/>
      <c r="KX273" s="21"/>
      <c r="KY273" s="168">
        <v>250365</v>
      </c>
      <c r="KZ273" s="168">
        <v>230960</v>
      </c>
      <c r="LA273" s="168">
        <v>50000</v>
      </c>
      <c r="LB273" s="168">
        <v>50000</v>
      </c>
      <c r="LC273" s="21"/>
      <c r="LD273" s="21"/>
      <c r="LE273" s="168">
        <v>2561</v>
      </c>
      <c r="LF273" s="168">
        <v>1970</v>
      </c>
      <c r="LG273" s="21"/>
      <c r="LH273" s="21"/>
      <c r="LI273" s="168">
        <v>5548815</v>
      </c>
      <c r="LJ273" s="168">
        <v>5206609</v>
      </c>
      <c r="LK273" s="168">
        <v>8594649</v>
      </c>
      <c r="LL273" s="168">
        <v>11129453</v>
      </c>
      <c r="LM273" s="168">
        <v>78238</v>
      </c>
      <c r="LN273" s="168">
        <v>28785</v>
      </c>
      <c r="LO273" s="21"/>
      <c r="LP273" s="21"/>
      <c r="LQ273" s="21"/>
      <c r="LR273" s="21"/>
      <c r="LS273" s="21"/>
      <c r="LT273" s="21"/>
      <c r="LU273" s="21"/>
      <c r="LV273" s="21"/>
      <c r="LW273" s="21"/>
      <c r="LX273" s="21"/>
      <c r="LY273" s="21"/>
      <c r="LZ273" s="21"/>
      <c r="MA273" s="168">
        <v>21345495</v>
      </c>
      <c r="MB273" s="168">
        <v>25009051</v>
      </c>
      <c r="MC273" s="168">
        <v>1296134</v>
      </c>
      <c r="MD273" s="168">
        <v>1393646</v>
      </c>
      <c r="ME273" s="21"/>
      <c r="MF273" s="21"/>
      <c r="MG273" s="168">
        <v>2221439</v>
      </c>
      <c r="MH273" s="168">
        <v>2829498</v>
      </c>
      <c r="MI273" s="21"/>
      <c r="MJ273" s="21"/>
      <c r="MK273" s="21"/>
      <c r="ML273" s="21"/>
      <c r="MM273" s="168">
        <v>613888</v>
      </c>
      <c r="MN273" s="168">
        <v>703506</v>
      </c>
      <c r="MO273" s="168">
        <v>1177000</v>
      </c>
      <c r="MP273" s="168">
        <v>1187000</v>
      </c>
      <c r="MQ273" s="21"/>
      <c r="MR273" s="21"/>
      <c r="MS273" s="21"/>
      <c r="MT273" s="21"/>
      <c r="MU273" s="21"/>
      <c r="MV273" s="21"/>
      <c r="MW273" s="21"/>
      <c r="MX273" s="21"/>
      <c r="MY273" s="21"/>
      <c r="MZ273" s="21"/>
      <c r="NA273" s="21"/>
      <c r="NB273" s="21"/>
      <c r="NC273" s="168">
        <v>2280636</v>
      </c>
      <c r="ND273" s="168">
        <v>1738105</v>
      </c>
      <c r="NE273" s="21"/>
      <c r="NF273" s="21"/>
      <c r="NG273" s="168">
        <v>13199383</v>
      </c>
      <c r="NH273" s="168">
        <v>11218746</v>
      </c>
      <c r="NI273" s="21"/>
      <c r="NJ273" s="21"/>
      <c r="NK273" s="168">
        <v>22261</v>
      </c>
      <c r="NL273" s="168">
        <v>23009</v>
      </c>
      <c r="NM273" s="168">
        <v>38183084</v>
      </c>
      <c r="NN273" s="168">
        <v>43902749</v>
      </c>
      <c r="NO273" s="168">
        <v>54803167</v>
      </c>
      <c r="NP273" s="168">
        <v>59161003</v>
      </c>
      <c r="NQ273" s="168" t="s">
        <v>921</v>
      </c>
      <c r="NR273" s="168" t="s">
        <v>769</v>
      </c>
      <c r="NS273" s="168" t="s">
        <v>770</v>
      </c>
      <c r="NT273" s="168" t="s">
        <v>771</v>
      </c>
      <c r="NU273" s="168">
        <v>4401</v>
      </c>
      <c r="NV273" s="168" t="s">
        <v>2104</v>
      </c>
      <c r="NW273" s="168" t="s">
        <v>28</v>
      </c>
      <c r="NX273" s="168" t="s">
        <v>25</v>
      </c>
      <c r="NY273" s="169">
        <v>42766</v>
      </c>
      <c r="NZ273" s="169">
        <v>42400</v>
      </c>
      <c r="OA273" s="169">
        <v>43000</v>
      </c>
      <c r="OB273" s="168" t="s">
        <v>922</v>
      </c>
      <c r="OC273" s="168">
        <v>12</v>
      </c>
      <c r="OD273" s="168" t="s">
        <v>2106</v>
      </c>
      <c r="OE273" s="168" t="s">
        <v>2160</v>
      </c>
      <c r="OF273" s="168" t="s">
        <v>2161</v>
      </c>
      <c r="OG273" s="168" t="s">
        <v>1831</v>
      </c>
      <c r="OH273" s="168" t="s">
        <v>799</v>
      </c>
      <c r="OI273" s="168" t="s">
        <v>766</v>
      </c>
      <c r="OJ273" s="168" t="s">
        <v>3240</v>
      </c>
      <c r="OK273" s="168" t="s">
        <v>767</v>
      </c>
    </row>
    <row r="274" spans="1:401" x14ac:dyDescent="0.2">
      <c r="A274" s="170" t="str">
        <f>Liste[[#This Row],[Siren]]</f>
        <v>538791559</v>
      </c>
      <c r="B274" s="198" t="str">
        <f>Liste[[#This Row],[Dénomination]]&amp;" - comptes "&amp;YEAR(Liste[[#This Row],[Date de cloture de l''exercice]])</f>
        <v>RS FINANCE - comptes 2017</v>
      </c>
      <c r="C274" s="21"/>
      <c r="D274" s="21"/>
      <c r="E274" s="168">
        <v>6145</v>
      </c>
      <c r="F274" s="168">
        <v>7117721</v>
      </c>
      <c r="G274" s="168">
        <v>7429214</v>
      </c>
      <c r="H274" s="168">
        <v>7123866</v>
      </c>
      <c r="I274" s="168">
        <v>5246813</v>
      </c>
      <c r="J274" s="168">
        <v>2377774</v>
      </c>
      <c r="K274" s="168">
        <v>2539693</v>
      </c>
      <c r="L274" s="168">
        <v>7624587</v>
      </c>
      <c r="M274" s="21"/>
      <c r="N274" s="168">
        <v>34420</v>
      </c>
      <c r="O274" s="21"/>
      <c r="P274" s="168">
        <v>34420</v>
      </c>
      <c r="Q274" s="21"/>
      <c r="R274" s="21"/>
      <c r="S274" s="21"/>
      <c r="T274" s="21"/>
      <c r="U274" s="21"/>
      <c r="V274" s="21"/>
      <c r="W274" s="21"/>
      <c r="X274" s="21"/>
      <c r="Y274" s="21"/>
      <c r="Z274" s="168">
        <v>6168049</v>
      </c>
      <c r="AA274" s="168">
        <v>6152822</v>
      </c>
      <c r="AB274" s="168">
        <v>6168049</v>
      </c>
      <c r="AC274" s="21"/>
      <c r="AD274" s="21"/>
      <c r="AE274" s="21"/>
      <c r="AF274" s="21"/>
      <c r="AG274" s="21"/>
      <c r="AH274" s="21"/>
      <c r="AI274" s="21"/>
      <c r="AJ274" s="21"/>
      <c r="AK274" s="21"/>
      <c r="AL274" s="168">
        <v>400239</v>
      </c>
      <c r="AM274" s="168">
        <v>297005</v>
      </c>
      <c r="AN274" s="168">
        <v>400239</v>
      </c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168">
        <v>359222</v>
      </c>
      <c r="BA274" s="168">
        <v>358220</v>
      </c>
      <c r="BB274" s="168">
        <v>359222</v>
      </c>
      <c r="BC274" s="168">
        <v>68946</v>
      </c>
      <c r="BD274" s="168">
        <v>1248741</v>
      </c>
      <c r="BE274" s="168">
        <v>309465</v>
      </c>
      <c r="BF274" s="168">
        <v>1317687</v>
      </c>
      <c r="BG274" s="168">
        <v>125710</v>
      </c>
      <c r="BH274" s="168">
        <v>4174</v>
      </c>
      <c r="BI274" s="168">
        <v>7605</v>
      </c>
      <c r="BJ274" s="168">
        <v>129884</v>
      </c>
      <c r="BK274" s="168">
        <v>12403135</v>
      </c>
      <c r="BL274" s="168">
        <v>5759804</v>
      </c>
      <c r="BM274" s="168">
        <v>6312760</v>
      </c>
      <c r="BN274" s="168">
        <v>18162939</v>
      </c>
      <c r="BO274" s="21"/>
      <c r="BP274" s="21"/>
      <c r="BQ274" s="21"/>
      <c r="BR274" s="21"/>
      <c r="BS274" s="21"/>
      <c r="BT274" s="21"/>
      <c r="BU274" s="21"/>
      <c r="BV274" s="21"/>
      <c r="BW274" s="21"/>
      <c r="BX274" s="168">
        <v>4215495</v>
      </c>
      <c r="BY274" s="168">
        <v>9403773</v>
      </c>
      <c r="BZ274" s="168">
        <v>4215495</v>
      </c>
      <c r="CA274" s="21"/>
      <c r="CB274" s="21"/>
      <c r="CC274" s="21"/>
      <c r="CD274" s="168">
        <v>2231461</v>
      </c>
      <c r="CE274" s="168">
        <v>26113827</v>
      </c>
      <c r="CF274" s="168">
        <v>4496283</v>
      </c>
      <c r="CG274" s="168">
        <v>28345288</v>
      </c>
      <c r="CH274" s="21"/>
      <c r="CI274" s="21"/>
      <c r="CJ274" s="21"/>
      <c r="CK274" s="21"/>
      <c r="CL274" s="21"/>
      <c r="CM274" s="21"/>
      <c r="CN274" s="21"/>
      <c r="CO274" s="21"/>
      <c r="CP274" s="21"/>
      <c r="CQ274" s="168">
        <v>1</v>
      </c>
      <c r="CR274" s="168">
        <v>22078951</v>
      </c>
      <c r="CS274" s="168">
        <v>1</v>
      </c>
      <c r="CT274" s="21"/>
      <c r="CU274" s="21"/>
      <c r="CV274" s="21"/>
      <c r="CW274" s="21"/>
      <c r="CX274" s="168">
        <v>5918</v>
      </c>
      <c r="CY274" s="21"/>
      <c r="CZ274" s="168">
        <v>1072</v>
      </c>
      <c r="DA274" s="168">
        <v>5918</v>
      </c>
      <c r="DB274" s="21"/>
      <c r="DC274" s="168">
        <v>347980</v>
      </c>
      <c r="DD274" s="168">
        <v>24060</v>
      </c>
      <c r="DE274" s="168">
        <v>347980</v>
      </c>
      <c r="DF274" s="168">
        <v>4048577</v>
      </c>
      <c r="DG274" s="168">
        <v>1317029</v>
      </c>
      <c r="DH274" s="168">
        <v>1482641</v>
      </c>
      <c r="DI274" s="168">
        <v>5365606</v>
      </c>
      <c r="DJ274" s="168">
        <v>538165</v>
      </c>
      <c r="DK274" s="168">
        <v>9523204</v>
      </c>
      <c r="DL274" s="168">
        <v>9938222</v>
      </c>
      <c r="DM274" s="168">
        <v>10061369</v>
      </c>
      <c r="DN274" s="21"/>
      <c r="DO274" s="168">
        <v>32116</v>
      </c>
      <c r="DP274" s="168">
        <v>32553</v>
      </c>
      <c r="DQ274" s="168">
        <v>32116</v>
      </c>
      <c r="DR274" s="21"/>
      <c r="DS274" s="21"/>
      <c r="DT274" s="21"/>
      <c r="DU274" s="21"/>
      <c r="DV274" s="21"/>
      <c r="DW274" s="168">
        <v>74347</v>
      </c>
      <c r="DX274" s="168">
        <v>74347</v>
      </c>
      <c r="DY274" s="168">
        <v>74347</v>
      </c>
      <c r="DZ274" s="21"/>
      <c r="EA274" s="21"/>
      <c r="EB274" s="21"/>
      <c r="EC274" s="21"/>
      <c r="ED274" s="21"/>
      <c r="EE274" s="21"/>
      <c r="EF274" s="21"/>
      <c r="EG274" s="21"/>
      <c r="EH274" s="21"/>
      <c r="EI274" s="21"/>
      <c r="EJ274" s="21"/>
      <c r="EK274" s="168">
        <v>21830153</v>
      </c>
      <c r="EL274" s="168">
        <v>18623686</v>
      </c>
      <c r="EM274" s="168">
        <v>41248479</v>
      </c>
      <c r="EN274" s="168">
        <v>40453839</v>
      </c>
      <c r="EO274" s="168">
        <v>613256</v>
      </c>
      <c r="EP274" s="168">
        <v>23064890</v>
      </c>
      <c r="EQ274" s="168">
        <v>27935710</v>
      </c>
      <c r="ER274" s="168">
        <v>23678146</v>
      </c>
      <c r="ES274" s="168">
        <v>24674870</v>
      </c>
      <c r="ET274" s="168">
        <v>67802401</v>
      </c>
      <c r="EU274" s="168">
        <v>73682841</v>
      </c>
      <c r="EV274" s="168">
        <v>92477271</v>
      </c>
      <c r="EW274" s="21"/>
      <c r="EX274" s="168">
        <v>2540108</v>
      </c>
      <c r="EY274" s="168">
        <v>2540108</v>
      </c>
      <c r="EZ274" s="168">
        <v>2540108</v>
      </c>
      <c r="FA274" s="21"/>
      <c r="FB274" s="21"/>
      <c r="FC274" s="21"/>
      <c r="FD274" s="21"/>
      <c r="FE274" s="21"/>
      <c r="FF274" s="21"/>
      <c r="FG274" s="21"/>
      <c r="FH274" s="21"/>
      <c r="FI274" s="168">
        <v>198425</v>
      </c>
      <c r="FJ274" s="168">
        <v>-66421</v>
      </c>
      <c r="FK274" s="21"/>
      <c r="FL274" s="21"/>
      <c r="FM274" s="21"/>
      <c r="FN274" s="21"/>
      <c r="FO274" s="21"/>
      <c r="FP274" s="21"/>
      <c r="FQ274" s="168">
        <v>251152</v>
      </c>
      <c r="FR274" s="168">
        <v>251153</v>
      </c>
      <c r="FS274" s="21"/>
      <c r="FT274" s="21"/>
      <c r="FU274" s="168">
        <v>46865</v>
      </c>
      <c r="FV274" s="168">
        <v>-10753</v>
      </c>
      <c r="FW274" s="168">
        <v>561146</v>
      </c>
      <c r="FX274" s="168">
        <v>640957</v>
      </c>
      <c r="FY274" s="168">
        <v>25939</v>
      </c>
      <c r="FZ274" s="168">
        <v>28243</v>
      </c>
      <c r="GA274" s="21"/>
      <c r="GB274" s="21"/>
      <c r="GC274" s="21"/>
      <c r="GD274" s="21"/>
      <c r="GE274" s="21"/>
      <c r="GF274" s="21"/>
      <c r="GG274" s="21"/>
      <c r="GH274" s="21"/>
      <c r="GI274" s="21"/>
      <c r="GJ274" s="21"/>
      <c r="GK274" s="21"/>
      <c r="GL274" s="21"/>
      <c r="GM274" s="168">
        <v>1953485</v>
      </c>
      <c r="GN274" s="168">
        <v>12129595</v>
      </c>
      <c r="GO274" s="168">
        <v>2204637</v>
      </c>
      <c r="GP274" s="168">
        <v>2380748</v>
      </c>
      <c r="GQ274" s="21"/>
      <c r="GR274" s="21"/>
      <c r="GS274" s="168">
        <v>1927546</v>
      </c>
      <c r="GT274" s="168">
        <v>2101352</v>
      </c>
      <c r="GU274" s="168">
        <v>218476</v>
      </c>
      <c r="GV274" s="168">
        <v>383249</v>
      </c>
      <c r="GW274" s="168">
        <v>416901</v>
      </c>
      <c r="GX274" s="168">
        <v>316828</v>
      </c>
      <c r="GY274" s="168">
        <v>86660326</v>
      </c>
      <c r="GZ274" s="168">
        <v>90219943</v>
      </c>
      <c r="HA274" s="21"/>
      <c r="HB274" s="21"/>
      <c r="HC274" s="168">
        <v>4921869</v>
      </c>
      <c r="HD274" s="168">
        <v>4826867</v>
      </c>
      <c r="HE274" s="21"/>
      <c r="HF274" s="21"/>
      <c r="HG274" s="21"/>
      <c r="HH274" s="21"/>
      <c r="HI274" s="168">
        <v>619227</v>
      </c>
      <c r="HJ274" s="168">
        <v>799183</v>
      </c>
      <c r="HK274" s="21"/>
      <c r="HL274" s="21"/>
      <c r="HM274" s="21"/>
      <c r="HN274" s="21"/>
      <c r="HO274" s="21"/>
      <c r="HP274" s="21"/>
      <c r="HQ274" s="21"/>
      <c r="HR274" s="21"/>
      <c r="HS274" s="21"/>
      <c r="HT274" s="21"/>
      <c r="HU274" s="168">
        <v>1400299</v>
      </c>
      <c r="HV274" s="168">
        <v>1421774</v>
      </c>
      <c r="HW274" s="168">
        <v>65852</v>
      </c>
      <c r="HX274" s="168">
        <v>106127</v>
      </c>
      <c r="HY274" s="21"/>
      <c r="HZ274" s="21"/>
      <c r="IA274" s="21"/>
      <c r="IB274" s="21"/>
      <c r="IC274" s="21"/>
      <c r="ID274" s="21"/>
      <c r="IE274" s="21"/>
      <c r="IF274" s="21"/>
      <c r="IG274" s="21"/>
      <c r="IH274" s="21"/>
      <c r="II274" s="21"/>
      <c r="IJ274" s="21"/>
      <c r="IK274" s="21"/>
      <c r="IL274" s="21"/>
      <c r="IM274" s="21"/>
      <c r="IN274" s="21"/>
      <c r="IO274" s="21"/>
      <c r="IP274" s="21"/>
      <c r="IQ274" s="21"/>
      <c r="IR274" s="21"/>
      <c r="IS274" s="21"/>
      <c r="IT274" s="21"/>
      <c r="IU274" s="168">
        <v>2614223</v>
      </c>
      <c r="IV274" s="168">
        <v>3077373</v>
      </c>
      <c r="IW274" s="168">
        <v>2920667</v>
      </c>
      <c r="IX274" s="168">
        <v>3475094</v>
      </c>
      <c r="IY274" s="168">
        <v>-306444</v>
      </c>
      <c r="IZ274" s="168">
        <v>-397721</v>
      </c>
      <c r="JA274" s="168">
        <v>114528</v>
      </c>
      <c r="JB274" s="168">
        <v>84273</v>
      </c>
      <c r="JC274" s="21"/>
      <c r="JD274" s="21"/>
      <c r="JE274" s="21"/>
      <c r="JF274" s="21"/>
      <c r="JG274" s="21"/>
      <c r="JH274" s="21"/>
      <c r="JI274" s="168">
        <v>105777553</v>
      </c>
      <c r="JJ274" s="168">
        <v>108262328</v>
      </c>
      <c r="JK274" s="168">
        <v>344998</v>
      </c>
      <c r="JL274" s="168">
        <v>488856</v>
      </c>
      <c r="JM274" s="168">
        <v>108698220</v>
      </c>
      <c r="JN274" s="168">
        <v>111737422</v>
      </c>
      <c r="JO274" s="168">
        <v>38554</v>
      </c>
      <c r="JP274" s="168">
        <v>91135</v>
      </c>
      <c r="JQ274" s="21"/>
      <c r="JR274" s="21"/>
      <c r="JS274" s="21"/>
      <c r="JT274" s="21"/>
      <c r="JU274" s="21"/>
      <c r="JV274" s="21"/>
      <c r="JW274" s="168">
        <v>107964465</v>
      </c>
      <c r="JX274" s="168">
        <v>110853966</v>
      </c>
      <c r="JY274" s="21"/>
      <c r="JZ274" s="21"/>
      <c r="KA274" s="21"/>
      <c r="KB274" s="21"/>
      <c r="KC274" s="21"/>
      <c r="KD274" s="21"/>
      <c r="KE274" s="21"/>
      <c r="KF274" s="21"/>
      <c r="KG274" s="21"/>
      <c r="KH274" s="21"/>
      <c r="KI274" s="168">
        <v>107964465</v>
      </c>
      <c r="KJ274" s="168">
        <v>110853966</v>
      </c>
      <c r="KK274" s="21"/>
      <c r="KL274" s="21"/>
      <c r="KM274" s="21"/>
      <c r="KN274" s="21"/>
      <c r="KO274" s="21"/>
      <c r="KP274" s="21"/>
      <c r="KQ274" s="168">
        <v>306061</v>
      </c>
      <c r="KR274" s="168">
        <v>256562</v>
      </c>
      <c r="KS274" s="21"/>
      <c r="KT274" s="21"/>
      <c r="KU274" s="168">
        <v>8981379</v>
      </c>
      <c r="KV274" s="168">
        <v>7582663</v>
      </c>
      <c r="KW274" s="21"/>
      <c r="KX274" s="21"/>
      <c r="KY274" s="21"/>
      <c r="KZ274" s="21"/>
      <c r="LA274" s="168">
        <v>12999800</v>
      </c>
      <c r="LB274" s="168">
        <v>12999800</v>
      </c>
      <c r="LC274" s="21"/>
      <c r="LD274" s="21"/>
      <c r="LE274" s="168">
        <v>25939</v>
      </c>
      <c r="LF274" s="168">
        <v>28243</v>
      </c>
      <c r="LG274" s="21"/>
      <c r="LH274" s="21"/>
      <c r="LI274" s="168">
        <v>3034058</v>
      </c>
      <c r="LJ274" s="168">
        <v>3138360</v>
      </c>
      <c r="LK274" s="168">
        <v>9134747</v>
      </c>
      <c r="LL274" s="168">
        <v>9216397</v>
      </c>
      <c r="LM274" s="168">
        <v>31167</v>
      </c>
      <c r="LN274" s="168">
        <v>24147</v>
      </c>
      <c r="LO274" s="21"/>
      <c r="LP274" s="21"/>
      <c r="LQ274" s="21"/>
      <c r="LR274" s="21"/>
      <c r="LS274" s="21"/>
      <c r="LT274" s="21"/>
      <c r="LU274" s="21"/>
      <c r="LV274" s="21"/>
      <c r="LW274" s="21"/>
      <c r="LX274" s="21"/>
      <c r="LY274" s="21"/>
      <c r="LZ274" s="21"/>
      <c r="MA274" s="168">
        <v>24184821</v>
      </c>
      <c r="MB274" s="168">
        <v>29760781</v>
      </c>
      <c r="MC274" s="168">
        <v>8893325</v>
      </c>
      <c r="MD274" s="168">
        <v>10132958</v>
      </c>
      <c r="ME274" s="21"/>
      <c r="MF274" s="21"/>
      <c r="MG274" s="168">
        <v>47759</v>
      </c>
      <c r="MH274" s="21"/>
      <c r="MI274" s="21"/>
      <c r="MJ274" s="21"/>
      <c r="MK274" s="21"/>
      <c r="ML274" s="21"/>
      <c r="MM274" s="168">
        <v>90156</v>
      </c>
      <c r="MN274" s="168">
        <v>69205</v>
      </c>
      <c r="MO274" s="168">
        <v>247076</v>
      </c>
      <c r="MP274" s="168">
        <v>252538</v>
      </c>
      <c r="MQ274" s="168">
        <v>534116</v>
      </c>
      <c r="MR274" s="168">
        <v>845227</v>
      </c>
      <c r="MS274" s="21"/>
      <c r="MT274" s="21"/>
      <c r="MU274" s="21"/>
      <c r="MV274" s="21"/>
      <c r="MW274" s="168">
        <v>512388</v>
      </c>
      <c r="MX274" s="168">
        <v>417561</v>
      </c>
      <c r="MY274" s="21"/>
      <c r="MZ274" s="21"/>
      <c r="NA274" s="21"/>
      <c r="NB274" s="21"/>
      <c r="NC274" s="168">
        <v>1927546</v>
      </c>
      <c r="ND274" s="168">
        <v>2101352</v>
      </c>
      <c r="NE274" s="21"/>
      <c r="NF274" s="21"/>
      <c r="NG274" s="168">
        <v>21367373</v>
      </c>
      <c r="NH274" s="168">
        <v>19842822</v>
      </c>
      <c r="NI274" s="21"/>
      <c r="NJ274" s="21"/>
      <c r="NK274" s="168">
        <v>-68258</v>
      </c>
      <c r="NL274" s="168">
        <v>74442</v>
      </c>
      <c r="NM274" s="168">
        <v>45674335</v>
      </c>
      <c r="NN274" s="168">
        <v>52598410</v>
      </c>
      <c r="NO274" s="168">
        <v>67802401</v>
      </c>
      <c r="NP274" s="168">
        <v>73682841</v>
      </c>
      <c r="NQ274" s="168" t="s">
        <v>1357</v>
      </c>
      <c r="NR274" s="168" t="s">
        <v>802</v>
      </c>
      <c r="NS274" s="168" t="s">
        <v>770</v>
      </c>
      <c r="NT274" s="168" t="s">
        <v>771</v>
      </c>
      <c r="NU274" s="168">
        <v>101</v>
      </c>
      <c r="NV274" s="168" t="s">
        <v>2104</v>
      </c>
      <c r="NW274" s="168" t="s">
        <v>28</v>
      </c>
      <c r="NX274" s="168" t="s">
        <v>25</v>
      </c>
      <c r="NY274" s="169">
        <v>42766</v>
      </c>
      <c r="NZ274" s="169">
        <v>42400</v>
      </c>
      <c r="OA274" s="169">
        <v>43089</v>
      </c>
      <c r="OB274" s="168" t="s">
        <v>3254</v>
      </c>
      <c r="OC274" s="168">
        <v>12</v>
      </c>
      <c r="OD274" s="168" t="s">
        <v>2105</v>
      </c>
      <c r="OE274" s="168" t="s">
        <v>3255</v>
      </c>
      <c r="OF274" s="168" t="s">
        <v>3256</v>
      </c>
      <c r="OG274" s="168" t="s">
        <v>3257</v>
      </c>
      <c r="OH274" s="168" t="s">
        <v>911</v>
      </c>
      <c r="OI274" s="168" t="s">
        <v>766</v>
      </c>
      <c r="OJ274" s="168" t="s">
        <v>3240</v>
      </c>
      <c r="OK274" s="168" t="s">
        <v>801</v>
      </c>
    </row>
    <row r="275" spans="1:401" x14ac:dyDescent="0.2">
      <c r="A275" s="170" t="str">
        <f>Liste[[#This Row],[Siren]]</f>
        <v>508185089</v>
      </c>
      <c r="B275" s="198" t="str">
        <f>Liste[[#This Row],[Dénomination]]&amp;" - comptes "&amp;YEAR(Liste[[#This Row],[Date de cloture de l''exercice]])</f>
        <v>ALTHO - comptes 2017</v>
      </c>
      <c r="C275" s="21"/>
      <c r="D275" s="21"/>
      <c r="E275" s="21"/>
      <c r="F275" s="168">
        <v>2480781</v>
      </c>
      <c r="G275" s="168">
        <v>2350690</v>
      </c>
      <c r="H275" s="168">
        <v>2480781</v>
      </c>
      <c r="I275" s="168">
        <v>1174674</v>
      </c>
      <c r="J275" s="168">
        <v>403896</v>
      </c>
      <c r="K275" s="168">
        <v>457894</v>
      </c>
      <c r="L275" s="168">
        <v>1578570</v>
      </c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168">
        <v>1015915</v>
      </c>
      <c r="AA275" s="168">
        <v>1052553</v>
      </c>
      <c r="AB275" s="168">
        <v>1015915</v>
      </c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168">
        <v>391143</v>
      </c>
      <c r="BA275" s="168">
        <v>328576</v>
      </c>
      <c r="BB275" s="168">
        <v>391143</v>
      </c>
      <c r="BC275" s="168">
        <v>2967</v>
      </c>
      <c r="BD275" s="168">
        <v>255632</v>
      </c>
      <c r="BE275" s="168">
        <v>271137</v>
      </c>
      <c r="BF275" s="168">
        <v>258599</v>
      </c>
      <c r="BG275" s="168">
        <v>133553</v>
      </c>
      <c r="BH275" s="168">
        <v>4436</v>
      </c>
      <c r="BI275" s="168">
        <v>11552</v>
      </c>
      <c r="BJ275" s="168">
        <v>137989</v>
      </c>
      <c r="BK275" s="168">
        <v>7627662</v>
      </c>
      <c r="BL275" s="168">
        <v>6332221</v>
      </c>
      <c r="BM275" s="168">
        <v>6907880</v>
      </c>
      <c r="BN275" s="168">
        <v>13959883</v>
      </c>
      <c r="BO275" s="21"/>
      <c r="BP275" s="21"/>
      <c r="BQ275" s="21"/>
      <c r="BR275" s="21"/>
      <c r="BS275" s="21"/>
      <c r="BT275" s="21"/>
      <c r="BU275" s="21"/>
      <c r="BV275" s="21"/>
      <c r="BW275" s="21"/>
      <c r="BX275" s="168">
        <v>154186</v>
      </c>
      <c r="BY275" s="168">
        <v>575246</v>
      </c>
      <c r="BZ275" s="168">
        <v>154186</v>
      </c>
      <c r="CA275" s="21"/>
      <c r="CB275" s="21"/>
      <c r="CC275" s="21"/>
      <c r="CD275" s="21"/>
      <c r="CE275" s="21"/>
      <c r="CF275" s="21"/>
      <c r="CG275" s="21"/>
      <c r="CH275" s="21"/>
      <c r="CI275" s="21"/>
      <c r="CJ275" s="21"/>
      <c r="CK275" s="21"/>
      <c r="CL275" s="21"/>
      <c r="CM275" s="21"/>
      <c r="CN275" s="21"/>
      <c r="CO275" s="21"/>
      <c r="CP275" s="21"/>
      <c r="CQ275" s="168">
        <v>324192</v>
      </c>
      <c r="CR275" s="168">
        <v>5434633</v>
      </c>
      <c r="CS275" s="168">
        <v>324192</v>
      </c>
      <c r="CT275" s="21"/>
      <c r="CU275" s="21"/>
      <c r="CV275" s="21"/>
      <c r="CW275" s="21"/>
      <c r="CX275" s="21"/>
      <c r="CY275" s="21"/>
      <c r="CZ275" s="21"/>
      <c r="DA275" s="21"/>
      <c r="DB275" s="21"/>
      <c r="DC275" s="21"/>
      <c r="DD275" s="21"/>
      <c r="DE275" s="21"/>
      <c r="DF275" s="168">
        <v>3983776</v>
      </c>
      <c r="DG275" s="168">
        <v>480640</v>
      </c>
      <c r="DH275" s="168">
        <v>579852</v>
      </c>
      <c r="DI275" s="168">
        <v>4464416</v>
      </c>
      <c r="DJ275" s="21"/>
      <c r="DK275" s="168">
        <v>5175895</v>
      </c>
      <c r="DL275" s="168">
        <v>5168413</v>
      </c>
      <c r="DM275" s="168">
        <v>5175895</v>
      </c>
      <c r="DN275" s="21"/>
      <c r="DO275" s="168">
        <v>29513</v>
      </c>
      <c r="DP275" s="168">
        <v>32296</v>
      </c>
      <c r="DQ275" s="168">
        <v>29513</v>
      </c>
      <c r="DR275" s="21"/>
      <c r="DS275" s="21"/>
      <c r="DT275" s="21"/>
      <c r="DU275" s="21"/>
      <c r="DV275" s="21"/>
      <c r="DW275" s="168">
        <v>26681</v>
      </c>
      <c r="DX275" s="168">
        <v>40201</v>
      </c>
      <c r="DY275" s="168">
        <v>26681</v>
      </c>
      <c r="DZ275" s="21"/>
      <c r="EA275" s="21"/>
      <c r="EB275" s="21"/>
      <c r="EC275" s="21"/>
      <c r="ED275" s="21"/>
      <c r="EE275" s="21"/>
      <c r="EF275" s="21"/>
      <c r="EG275" s="21"/>
      <c r="EH275" s="21"/>
      <c r="EI275" s="21"/>
      <c r="EJ275" s="21"/>
      <c r="EK275" s="168">
        <v>12919665</v>
      </c>
      <c r="EL275" s="168">
        <v>9555042</v>
      </c>
      <c r="EM275" s="168">
        <v>15451626</v>
      </c>
      <c r="EN275" s="168">
        <v>22474707</v>
      </c>
      <c r="EO275" s="168">
        <v>2967</v>
      </c>
      <c r="EP275" s="168">
        <v>8487150</v>
      </c>
      <c r="EQ275" s="168">
        <v>8726358</v>
      </c>
      <c r="ER275" s="168">
        <v>8490117</v>
      </c>
      <c r="ES275" s="168">
        <v>15956627</v>
      </c>
      <c r="ET275" s="168">
        <v>27470961</v>
      </c>
      <c r="EU275" s="168">
        <v>28866896</v>
      </c>
      <c r="EV275" s="168">
        <v>43427588</v>
      </c>
      <c r="EW275" s="21"/>
      <c r="EX275" s="168">
        <v>967061</v>
      </c>
      <c r="EY275" s="168">
        <v>967061</v>
      </c>
      <c r="EZ275" s="168">
        <v>967061</v>
      </c>
      <c r="FA275" s="21"/>
      <c r="FB275" s="21"/>
      <c r="FC275" s="21"/>
      <c r="FD275" s="21"/>
      <c r="FE275" s="21"/>
      <c r="FF275" s="21"/>
      <c r="FG275" s="21"/>
      <c r="FH275" s="21"/>
      <c r="FI275" s="168">
        <v>-25549</v>
      </c>
      <c r="FJ275" s="168">
        <v>-13866</v>
      </c>
      <c r="FK275" s="21"/>
      <c r="FL275" s="21"/>
      <c r="FM275" s="21"/>
      <c r="FN275" s="21"/>
      <c r="FO275" s="21"/>
      <c r="FP275" s="21"/>
      <c r="FQ275" s="168">
        <v>367757</v>
      </c>
      <c r="FR275" s="168">
        <v>367757</v>
      </c>
      <c r="FS275" s="21"/>
      <c r="FT275" s="21"/>
      <c r="FU275" s="168">
        <v>-7257</v>
      </c>
      <c r="FV275" s="168">
        <v>-4067</v>
      </c>
      <c r="FW275" s="168">
        <v>95823</v>
      </c>
      <c r="FX275" s="168">
        <v>109274</v>
      </c>
      <c r="FY275" s="168">
        <v>555</v>
      </c>
      <c r="FZ275" s="168">
        <v>671</v>
      </c>
      <c r="GA275" s="21"/>
      <c r="GB275" s="21"/>
      <c r="GC275" s="21"/>
      <c r="GD275" s="21"/>
      <c r="GE275" s="21"/>
      <c r="GF275" s="21"/>
      <c r="GG275" s="21"/>
      <c r="GH275" s="21"/>
      <c r="GI275" s="21"/>
      <c r="GJ275" s="21"/>
      <c r="GK275" s="21"/>
      <c r="GL275" s="21"/>
      <c r="GM275" s="168">
        <v>531756</v>
      </c>
      <c r="GN275" s="168">
        <v>720031</v>
      </c>
      <c r="GO275" s="168">
        <v>899513</v>
      </c>
      <c r="GP275" s="168">
        <v>1087788</v>
      </c>
      <c r="GQ275" s="21"/>
      <c r="GR275" s="21"/>
      <c r="GS275" s="168">
        <v>531201</v>
      </c>
      <c r="GT275" s="168">
        <v>719360</v>
      </c>
      <c r="GU275" s="168">
        <v>87378</v>
      </c>
      <c r="GV275" s="168">
        <v>28571</v>
      </c>
      <c r="GW275" s="168">
        <v>61829</v>
      </c>
      <c r="GX275" s="168">
        <v>14705</v>
      </c>
      <c r="GY275" s="21"/>
      <c r="GZ275" s="21"/>
      <c r="HA275" s="21"/>
      <c r="HB275" s="21"/>
      <c r="HC275" s="168">
        <v>1723124</v>
      </c>
      <c r="HD275" s="168">
        <v>1489625</v>
      </c>
      <c r="HE275" s="21"/>
      <c r="HF275" s="21"/>
      <c r="HG275" s="21"/>
      <c r="HH275" s="21"/>
      <c r="HI275" s="168">
        <v>361476</v>
      </c>
      <c r="HJ275" s="168">
        <v>305292</v>
      </c>
      <c r="HK275" s="21"/>
      <c r="HL275" s="21"/>
      <c r="HM275" s="21"/>
      <c r="HN275" s="21"/>
      <c r="HO275" s="21"/>
      <c r="HP275" s="21"/>
      <c r="HQ275" s="21"/>
      <c r="HR275" s="21"/>
      <c r="HS275" s="21"/>
      <c r="HT275" s="21"/>
      <c r="HU275" s="168">
        <v>791785</v>
      </c>
      <c r="HV275" s="168">
        <v>809743</v>
      </c>
      <c r="HW275" s="168">
        <v>63259</v>
      </c>
      <c r="HX275" s="168">
        <v>120976</v>
      </c>
      <c r="HY275" s="21"/>
      <c r="HZ275" s="21"/>
      <c r="IA275" s="21"/>
      <c r="IB275" s="21"/>
      <c r="IC275" s="21"/>
      <c r="ID275" s="21"/>
      <c r="IE275" s="168">
        <v>868541</v>
      </c>
      <c r="IF275" s="168">
        <v>843069</v>
      </c>
      <c r="IG275" s="21"/>
      <c r="IH275" s="21"/>
      <c r="II275" s="21"/>
      <c r="IJ275" s="21"/>
      <c r="IK275" s="21"/>
      <c r="IL275" s="21"/>
      <c r="IM275" s="168">
        <v>43007568</v>
      </c>
      <c r="IN275" s="168">
        <v>43790624</v>
      </c>
      <c r="IO275" s="21"/>
      <c r="IP275" s="21"/>
      <c r="IQ275" s="21"/>
      <c r="IR275" s="21"/>
      <c r="IS275" s="21"/>
      <c r="IT275" s="21"/>
      <c r="IU275" s="168">
        <v>1013628</v>
      </c>
      <c r="IV275" s="168">
        <v>1206861</v>
      </c>
      <c r="IW275" s="168">
        <v>1216628</v>
      </c>
      <c r="IX275" s="168">
        <v>1386313</v>
      </c>
      <c r="IY275" s="168">
        <v>-203000</v>
      </c>
      <c r="IZ275" s="168">
        <v>-179452</v>
      </c>
      <c r="JA275" s="168">
        <v>-101987</v>
      </c>
      <c r="JB275" s="168">
        <v>-2700</v>
      </c>
      <c r="JC275" s="21"/>
      <c r="JD275" s="21"/>
      <c r="JE275" s="21"/>
      <c r="JF275" s="21"/>
      <c r="JG275" s="21"/>
      <c r="JH275" s="21"/>
      <c r="JI275" s="168">
        <v>12235781</v>
      </c>
      <c r="JJ275" s="168">
        <v>12086591</v>
      </c>
      <c r="JK275" s="168">
        <v>222456</v>
      </c>
      <c r="JL275" s="168">
        <v>387556</v>
      </c>
      <c r="JM275" s="21"/>
      <c r="JN275" s="21"/>
      <c r="JO275" s="168">
        <v>19456</v>
      </c>
      <c r="JP275" s="168">
        <v>208104</v>
      </c>
      <c r="JQ275" s="21"/>
      <c r="JR275" s="21"/>
      <c r="JS275" s="21"/>
      <c r="JT275" s="21"/>
      <c r="JU275" s="21"/>
      <c r="JV275" s="21"/>
      <c r="JW275" s="168">
        <v>56246767</v>
      </c>
      <c r="JX275" s="168">
        <v>56897978</v>
      </c>
      <c r="JY275" s="21"/>
      <c r="JZ275" s="21"/>
      <c r="KA275" s="21"/>
      <c r="KB275" s="21"/>
      <c r="KC275" s="21"/>
      <c r="KD275" s="21"/>
      <c r="KE275" s="21"/>
      <c r="KF275" s="21"/>
      <c r="KG275" s="21"/>
      <c r="KH275" s="21"/>
      <c r="KI275" s="168">
        <v>56745008</v>
      </c>
      <c r="KJ275" s="168">
        <v>57306100</v>
      </c>
      <c r="KK275" s="21"/>
      <c r="KL275" s="21"/>
      <c r="KM275" s="21"/>
      <c r="KN275" s="21"/>
      <c r="KO275" s="21"/>
      <c r="KP275" s="21"/>
      <c r="KQ275" s="168">
        <v>114359</v>
      </c>
      <c r="KR275" s="168">
        <v>133928</v>
      </c>
      <c r="KS275" s="21"/>
      <c r="KT275" s="21"/>
      <c r="KU275" s="168">
        <v>7932129</v>
      </c>
      <c r="KV275" s="168">
        <v>6483493</v>
      </c>
      <c r="KW275" s="21"/>
      <c r="KX275" s="21"/>
      <c r="KY275" s="21"/>
      <c r="KZ275" s="21"/>
      <c r="LA275" s="168">
        <v>37000</v>
      </c>
      <c r="LB275" s="168">
        <v>37000</v>
      </c>
      <c r="LC275" s="21"/>
      <c r="LD275" s="21"/>
      <c r="LE275" s="168">
        <v>555</v>
      </c>
      <c r="LF275" s="168">
        <v>671</v>
      </c>
      <c r="LG275" s="21"/>
      <c r="LH275" s="21"/>
      <c r="LI275" s="168">
        <v>2015691</v>
      </c>
      <c r="LJ275" s="168">
        <v>2202834</v>
      </c>
      <c r="LK275" s="168">
        <v>3196879</v>
      </c>
      <c r="LL275" s="168">
        <v>3543153</v>
      </c>
      <c r="LM275" s="168">
        <v>4050</v>
      </c>
      <c r="LN275" s="168">
        <v>25898</v>
      </c>
      <c r="LO275" s="21"/>
      <c r="LP275" s="21"/>
      <c r="LQ275" s="21"/>
      <c r="LR275" s="21"/>
      <c r="LS275" s="21"/>
      <c r="LT275" s="21"/>
      <c r="LU275" s="21"/>
      <c r="LV275" s="21"/>
      <c r="LW275" s="21"/>
      <c r="LX275" s="21"/>
      <c r="LY275" s="21"/>
      <c r="LZ275" s="21"/>
      <c r="MA275" s="168">
        <v>16875054</v>
      </c>
      <c r="MB275" s="168">
        <v>18203422</v>
      </c>
      <c r="MC275" s="168">
        <v>184189</v>
      </c>
      <c r="MD275" s="168">
        <v>183789</v>
      </c>
      <c r="ME275" s="21"/>
      <c r="MF275" s="21"/>
      <c r="MG275" s="21"/>
      <c r="MH275" s="21"/>
      <c r="MI275" s="21"/>
      <c r="MJ275" s="21"/>
      <c r="MK275" s="21"/>
      <c r="ML275" s="21"/>
      <c r="MM275" s="21"/>
      <c r="MN275" s="21"/>
      <c r="MO275" s="21"/>
      <c r="MP275" s="21"/>
      <c r="MQ275" s="21"/>
      <c r="MR275" s="21"/>
      <c r="MS275" s="21"/>
      <c r="MT275" s="21"/>
      <c r="MU275" s="21"/>
      <c r="MV275" s="21"/>
      <c r="MW275" s="168">
        <v>3700</v>
      </c>
      <c r="MX275" s="168">
        <v>3700</v>
      </c>
      <c r="MY275" s="21"/>
      <c r="MZ275" s="21"/>
      <c r="NA275" s="21"/>
      <c r="NB275" s="21"/>
      <c r="NC275" s="168">
        <v>531201</v>
      </c>
      <c r="ND275" s="168">
        <v>719360</v>
      </c>
      <c r="NE275" s="21"/>
      <c r="NF275" s="21"/>
      <c r="NG275" s="168">
        <v>4254787</v>
      </c>
      <c r="NH275" s="168">
        <v>3723591</v>
      </c>
      <c r="NI275" s="21"/>
      <c r="NJ275" s="21"/>
      <c r="NK275" s="168">
        <v>719</v>
      </c>
      <c r="NL275" s="168">
        <v>3970</v>
      </c>
      <c r="NM275" s="168">
        <v>22431067</v>
      </c>
      <c r="NN275" s="168">
        <v>24309808</v>
      </c>
      <c r="NO275" s="168">
        <v>27470961</v>
      </c>
      <c r="NP275" s="168">
        <v>28866896</v>
      </c>
      <c r="NQ275" s="168" t="s">
        <v>1218</v>
      </c>
      <c r="NR275" s="168" t="s">
        <v>769</v>
      </c>
      <c r="NS275" s="168" t="s">
        <v>770</v>
      </c>
      <c r="NT275" s="168" t="s">
        <v>771</v>
      </c>
      <c r="NU275" s="168">
        <v>7106</v>
      </c>
      <c r="NV275" s="168" t="s">
        <v>2104</v>
      </c>
      <c r="NW275" s="168" t="s">
        <v>28</v>
      </c>
      <c r="NX275" s="168" t="s">
        <v>25</v>
      </c>
      <c r="NY275" s="169">
        <v>42766</v>
      </c>
      <c r="NZ275" s="169">
        <v>42400</v>
      </c>
      <c r="OA275" s="169">
        <v>43039</v>
      </c>
      <c r="OB275" s="168" t="s">
        <v>1219</v>
      </c>
      <c r="OC275" s="168">
        <v>12</v>
      </c>
      <c r="OD275" s="168" t="s">
        <v>2105</v>
      </c>
      <c r="OE275" s="168" t="s">
        <v>1569</v>
      </c>
      <c r="OF275" s="168" t="s">
        <v>2379</v>
      </c>
      <c r="OG275" s="168" t="s">
        <v>1927</v>
      </c>
      <c r="OH275" s="168" t="s">
        <v>1159</v>
      </c>
      <c r="OI275" s="168" t="s">
        <v>766</v>
      </c>
      <c r="OJ275" s="168" t="s">
        <v>3240</v>
      </c>
      <c r="OK275" s="168" t="s">
        <v>767</v>
      </c>
    </row>
    <row r="276" spans="1:401" x14ac:dyDescent="0.2">
      <c r="A276" s="170" t="str">
        <f>Liste[[#This Row],[Siren]]</f>
        <v>824367106</v>
      </c>
      <c r="B276" s="198" t="str">
        <f>Liste[[#This Row],[Dénomination]]&amp;" - comptes "&amp;YEAR(Liste[[#This Row],[Date de cloture de l''exercice]])</f>
        <v>MAETIS - comptes 2017</v>
      </c>
      <c r="C276" s="21"/>
      <c r="D276" s="21"/>
      <c r="E276" s="21"/>
      <c r="F276" s="168">
        <v>2015783</v>
      </c>
      <c r="G276" s="21"/>
      <c r="H276" s="168">
        <v>2015783</v>
      </c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168">
        <v>1957892</v>
      </c>
      <c r="BE276" s="21"/>
      <c r="BF276" s="168">
        <v>1957892</v>
      </c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168">
        <v>2054371</v>
      </c>
      <c r="BY276" s="21"/>
      <c r="BZ276" s="168">
        <v>2054371</v>
      </c>
      <c r="CA276" s="21"/>
      <c r="CB276" s="21"/>
      <c r="CC276" s="21"/>
      <c r="CD276" s="21"/>
      <c r="CE276" s="168">
        <v>4962451</v>
      </c>
      <c r="CF276" s="21"/>
      <c r="CG276" s="168">
        <v>4962451</v>
      </c>
      <c r="CH276" s="21"/>
      <c r="CI276" s="21"/>
      <c r="CJ276" s="21"/>
      <c r="CK276" s="21"/>
      <c r="CL276" s="21"/>
      <c r="CM276" s="21"/>
      <c r="CN276" s="21"/>
      <c r="CO276" s="21"/>
      <c r="CP276" s="21"/>
      <c r="CQ276" s="21"/>
      <c r="CR276" s="21"/>
      <c r="CS276" s="21"/>
      <c r="CT276" s="21"/>
      <c r="CU276" s="21"/>
      <c r="CV276" s="21"/>
      <c r="CW276" s="21"/>
      <c r="CX276" s="21"/>
      <c r="CY276" s="21"/>
      <c r="CZ276" s="21"/>
      <c r="DA276" s="21"/>
      <c r="DB276" s="21"/>
      <c r="DC276" s="21"/>
      <c r="DD276" s="21"/>
      <c r="DE276" s="21"/>
      <c r="DF276" s="21"/>
      <c r="DG276" s="21"/>
      <c r="DH276" s="21"/>
      <c r="DI276" s="21"/>
      <c r="DJ276" s="21"/>
      <c r="DK276" s="21"/>
      <c r="DL276" s="21"/>
      <c r="DM276" s="21"/>
      <c r="DN276" s="21"/>
      <c r="DO276" s="21"/>
      <c r="DP276" s="21"/>
      <c r="DQ276" s="21"/>
      <c r="DR276" s="21"/>
      <c r="DS276" s="21"/>
      <c r="DT276" s="21"/>
      <c r="DU276" s="21"/>
      <c r="DV276" s="21"/>
      <c r="DW276" s="21"/>
      <c r="DX276" s="21"/>
      <c r="DY276" s="21"/>
      <c r="DZ276" s="21"/>
      <c r="EA276" s="21"/>
      <c r="EB276" s="21"/>
      <c r="EC276" s="21"/>
      <c r="ED276" s="21"/>
      <c r="EE276" s="21"/>
      <c r="EF276" s="21"/>
      <c r="EG276" s="21"/>
      <c r="EH276" s="21"/>
      <c r="EI276" s="21"/>
      <c r="EJ276" s="21"/>
      <c r="EK276" s="21"/>
      <c r="EL276" s="168">
        <v>43396489</v>
      </c>
      <c r="EM276" s="21"/>
      <c r="EN276" s="168">
        <v>43396489</v>
      </c>
      <c r="EO276" s="21"/>
      <c r="EP276" s="168">
        <v>33602126</v>
      </c>
      <c r="EQ276" s="21"/>
      <c r="ER276" s="168">
        <v>33602126</v>
      </c>
      <c r="ES276" s="21"/>
      <c r="ET276" s="168">
        <v>82579069</v>
      </c>
      <c r="EU276" s="21"/>
      <c r="EV276" s="168">
        <v>82579069</v>
      </c>
      <c r="EW276" s="21"/>
      <c r="EX276" s="21"/>
      <c r="EY276" s="21"/>
      <c r="EZ276" s="21"/>
      <c r="FA276" s="21"/>
      <c r="FB276" s="21"/>
      <c r="FC276" s="21"/>
      <c r="FD276" s="21"/>
      <c r="FE276" s="21"/>
      <c r="FF276" s="168">
        <v>19208324</v>
      </c>
      <c r="FG276" s="21"/>
      <c r="FH276" s="168">
        <v>19208324</v>
      </c>
      <c r="FI276" s="168">
        <v>3105</v>
      </c>
      <c r="FJ276" s="21"/>
      <c r="FK276" s="21"/>
      <c r="FL276" s="21"/>
      <c r="FM276" s="21"/>
      <c r="FN276" s="21"/>
      <c r="FO276" s="21"/>
      <c r="FP276" s="21"/>
      <c r="FQ276" s="21"/>
      <c r="FR276" s="21"/>
      <c r="FS276" s="21"/>
      <c r="FT276" s="21"/>
      <c r="FU276" s="21"/>
      <c r="FV276" s="21"/>
      <c r="FW276" s="168">
        <v>-5440</v>
      </c>
      <c r="FX276" s="21"/>
      <c r="FY276" s="168">
        <v>-80</v>
      </c>
      <c r="FZ276" s="21"/>
      <c r="GA276" s="21"/>
      <c r="GB276" s="21"/>
      <c r="GC276" s="21"/>
      <c r="GD276" s="21"/>
      <c r="GE276" s="21"/>
      <c r="GF276" s="21"/>
      <c r="GG276" s="21"/>
      <c r="GH276" s="21"/>
      <c r="GI276" s="21"/>
      <c r="GJ276" s="21"/>
      <c r="GK276" s="21"/>
      <c r="GL276" s="21"/>
      <c r="GM276" s="168">
        <v>-3801</v>
      </c>
      <c r="GN276" s="21"/>
      <c r="GO276" s="168">
        <v>-3801</v>
      </c>
      <c r="GP276" s="21"/>
      <c r="GQ276" s="21"/>
      <c r="GR276" s="21"/>
      <c r="GS276" s="168">
        <v>-3721</v>
      </c>
      <c r="GT276" s="21"/>
      <c r="GU276" s="168">
        <v>2490</v>
      </c>
      <c r="GV276" s="21"/>
      <c r="GW276" s="168">
        <v>5595</v>
      </c>
      <c r="GX276" s="21"/>
      <c r="GY276" s="21"/>
      <c r="GZ276" s="21"/>
      <c r="HA276" s="21"/>
      <c r="HB276" s="21"/>
      <c r="HC276" s="168">
        <v>87502</v>
      </c>
      <c r="HD276" s="21"/>
      <c r="HE276" s="21"/>
      <c r="HF276" s="21"/>
      <c r="HG276" s="21"/>
      <c r="HH276" s="21"/>
      <c r="HI276" s="168">
        <v>8750</v>
      </c>
      <c r="HJ276" s="21"/>
      <c r="HK276" s="21"/>
      <c r="HL276" s="21"/>
      <c r="HM276" s="21"/>
      <c r="HN276" s="21"/>
      <c r="HO276" s="21"/>
      <c r="HP276" s="21"/>
      <c r="HQ276" s="21"/>
      <c r="HR276" s="21"/>
      <c r="HS276" s="21"/>
      <c r="HT276" s="21"/>
      <c r="HU276" s="168">
        <v>47747</v>
      </c>
      <c r="HV276" s="21"/>
      <c r="HW276" s="21"/>
      <c r="HX276" s="21"/>
      <c r="HY276" s="168">
        <v>1057</v>
      </c>
      <c r="HZ276" s="21"/>
      <c r="IA276" s="21"/>
      <c r="IB276" s="21"/>
      <c r="IC276" s="21"/>
      <c r="ID276" s="21"/>
      <c r="IE276" s="168">
        <v>22479</v>
      </c>
      <c r="IF276" s="21"/>
      <c r="IG276" s="21"/>
      <c r="IH276" s="21"/>
      <c r="II276" s="21"/>
      <c r="IJ276" s="21"/>
      <c r="IK276" s="21"/>
      <c r="IL276" s="21"/>
      <c r="IM276" s="21"/>
      <c r="IN276" s="21"/>
      <c r="IO276" s="21"/>
      <c r="IP276" s="21"/>
      <c r="IQ276" s="21"/>
      <c r="IR276" s="21"/>
      <c r="IS276" s="21"/>
      <c r="IT276" s="21"/>
      <c r="IU276" s="168">
        <v>-12346</v>
      </c>
      <c r="IV276" s="21"/>
      <c r="IW276" s="168">
        <v>-16819</v>
      </c>
      <c r="IX276" s="21"/>
      <c r="IY276" s="168">
        <v>4473</v>
      </c>
      <c r="IZ276" s="21"/>
      <c r="JA276" s="168">
        <v>5660</v>
      </c>
      <c r="JB276" s="21"/>
      <c r="JC276" s="21"/>
      <c r="JD276" s="21"/>
      <c r="JE276" s="168">
        <v>149028</v>
      </c>
      <c r="JF276" s="21"/>
      <c r="JG276" s="168">
        <v>686</v>
      </c>
      <c r="JH276" s="21"/>
      <c r="JI276" s="168">
        <v>1256372</v>
      </c>
      <c r="JJ276" s="21"/>
      <c r="JK276" s="168">
        <v>2550</v>
      </c>
      <c r="JL276" s="21"/>
      <c r="JM276" s="168">
        <v>15096</v>
      </c>
      <c r="JN276" s="21"/>
      <c r="JO276" s="168">
        <v>7023</v>
      </c>
      <c r="JP276" s="21"/>
      <c r="JQ276" s="21"/>
      <c r="JR276" s="21"/>
      <c r="JS276" s="21"/>
      <c r="JT276" s="21"/>
      <c r="JU276" s="21"/>
      <c r="JV276" s="21"/>
      <c r="JW276" s="168">
        <v>1224457</v>
      </c>
      <c r="JX276" s="21"/>
      <c r="JY276" s="21"/>
      <c r="JZ276" s="21"/>
      <c r="KA276" s="21"/>
      <c r="KB276" s="21"/>
      <c r="KC276" s="21"/>
      <c r="KD276" s="21"/>
      <c r="KE276" s="21"/>
      <c r="KF276" s="21"/>
      <c r="KG276" s="21"/>
      <c r="KH276" s="21"/>
      <c r="KI276" s="168">
        <v>1107930</v>
      </c>
      <c r="KJ276" s="21"/>
      <c r="KK276" s="168">
        <v>159885</v>
      </c>
      <c r="KL276" s="21"/>
      <c r="KM276" s="21"/>
      <c r="KN276" s="21"/>
      <c r="KO276" s="21"/>
      <c r="KP276" s="21"/>
      <c r="KQ276" s="168">
        <v>2666393</v>
      </c>
      <c r="KR276" s="21"/>
      <c r="KS276" s="21"/>
      <c r="KT276" s="21"/>
      <c r="KU276" s="21"/>
      <c r="KV276" s="21"/>
      <c r="KW276" s="21"/>
      <c r="KX276" s="21"/>
      <c r="KY276" s="21"/>
      <c r="KZ276" s="21"/>
      <c r="LA276" s="168">
        <v>27129140</v>
      </c>
      <c r="LB276" s="21"/>
      <c r="LC276" s="21"/>
      <c r="LD276" s="21"/>
      <c r="LE276" s="21"/>
      <c r="LF276" s="21"/>
      <c r="LG276" s="21"/>
      <c r="LH276" s="21"/>
      <c r="LI276" s="168">
        <v>3015894</v>
      </c>
      <c r="LJ276" s="21"/>
      <c r="LK276" s="168">
        <v>5843418</v>
      </c>
      <c r="LL276" s="21"/>
      <c r="LM276" s="168">
        <v>5662079</v>
      </c>
      <c r="LN276" s="21"/>
      <c r="LO276" s="21"/>
      <c r="LP276" s="21"/>
      <c r="LQ276" s="21"/>
      <c r="LR276" s="21"/>
      <c r="LS276" s="21"/>
      <c r="LT276" s="21"/>
      <c r="LU276" s="21"/>
      <c r="LV276" s="21"/>
      <c r="LW276" s="21"/>
      <c r="LX276" s="21"/>
      <c r="LY276" s="21"/>
      <c r="LZ276" s="21"/>
      <c r="MA276" s="21"/>
      <c r="MB276" s="21"/>
      <c r="MC276" s="168">
        <v>33782329</v>
      </c>
      <c r="MD276" s="21"/>
      <c r="ME276" s="21"/>
      <c r="MF276" s="21"/>
      <c r="MG276" s="21"/>
      <c r="MH276" s="21"/>
      <c r="MI276" s="21"/>
      <c r="MJ276" s="21"/>
      <c r="MK276" s="21"/>
      <c r="ML276" s="21"/>
      <c r="MM276" s="21"/>
      <c r="MN276" s="21"/>
      <c r="MO276" s="21"/>
      <c r="MP276" s="21"/>
      <c r="MQ276" s="21"/>
      <c r="MR276" s="21"/>
      <c r="MS276" s="168">
        <v>-3721</v>
      </c>
      <c r="MT276" s="21"/>
      <c r="MU276" s="21"/>
      <c r="MV276" s="21"/>
      <c r="MW276" s="21"/>
      <c r="MX276" s="21"/>
      <c r="MY276" s="21"/>
      <c r="MZ276" s="21"/>
      <c r="NA276" s="21"/>
      <c r="NB276" s="21"/>
      <c r="NC276" s="168">
        <v>-165723</v>
      </c>
      <c r="ND276" s="21"/>
      <c r="NE276" s="21"/>
      <c r="NF276" s="21"/>
      <c r="NG276" s="168">
        <v>26959696</v>
      </c>
      <c r="NH276" s="21"/>
      <c r="NI276" s="21"/>
      <c r="NJ276" s="21"/>
      <c r="NK276" s="168">
        <v>1955213</v>
      </c>
      <c r="NL276" s="21"/>
      <c r="NM276" s="168">
        <v>60970113</v>
      </c>
      <c r="NN276" s="21"/>
      <c r="NO276" s="168">
        <v>82579069</v>
      </c>
      <c r="NP276" s="21"/>
      <c r="NQ276" s="168" t="s">
        <v>1557</v>
      </c>
      <c r="NR276" s="168" t="s">
        <v>769</v>
      </c>
      <c r="NS276" s="168" t="s">
        <v>770</v>
      </c>
      <c r="NT276" s="168" t="s">
        <v>771</v>
      </c>
      <c r="NU276" s="168">
        <v>5101</v>
      </c>
      <c r="NV276" s="168" t="s">
        <v>2104</v>
      </c>
      <c r="NW276" s="168" t="s">
        <v>28</v>
      </c>
      <c r="NX276" s="168" t="s">
        <v>25</v>
      </c>
      <c r="NY276" s="169">
        <v>42766</v>
      </c>
      <c r="NZ276" s="21"/>
      <c r="OA276" s="169">
        <v>43042</v>
      </c>
      <c r="OB276" s="168" t="s">
        <v>1558</v>
      </c>
      <c r="OC276" s="168">
        <v>1</v>
      </c>
      <c r="OD276" s="168" t="s">
        <v>2105</v>
      </c>
      <c r="OE276" s="168" t="s">
        <v>2203</v>
      </c>
      <c r="OF276" s="168" t="s">
        <v>2636</v>
      </c>
      <c r="OG276" s="168" t="s">
        <v>2086</v>
      </c>
      <c r="OH276" s="168" t="s">
        <v>900</v>
      </c>
      <c r="OI276" s="168" t="s">
        <v>766</v>
      </c>
      <c r="OJ276" s="168" t="s">
        <v>3240</v>
      </c>
      <c r="OK276" s="168" t="s">
        <v>767</v>
      </c>
    </row>
    <row r="277" spans="1:401" x14ac:dyDescent="0.2">
      <c r="A277" s="170" t="str">
        <f>Liste[[#This Row],[Siren]]</f>
        <v>444977474</v>
      </c>
      <c r="B277" s="198" t="str">
        <f>Liste[[#This Row],[Dénomination]]&amp;" - comptes "&amp;YEAR(Liste[[#This Row],[Date de cloture de l''exercice]])</f>
        <v>YABE - comptes 2017</v>
      </c>
      <c r="C277" s="21"/>
      <c r="D277" s="21"/>
      <c r="E277" s="168">
        <v>55902</v>
      </c>
      <c r="F277" s="168">
        <v>4158728</v>
      </c>
      <c r="G277" s="168">
        <v>3815384</v>
      </c>
      <c r="H277" s="168">
        <v>4214630</v>
      </c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  <c r="BY277" s="21"/>
      <c r="BZ277" s="21"/>
      <c r="CA277" s="21"/>
      <c r="CB277" s="21"/>
      <c r="CC277" s="21"/>
      <c r="CD277" s="168">
        <v>237146</v>
      </c>
      <c r="CE277" s="168">
        <v>1643777</v>
      </c>
      <c r="CF277" s="168">
        <v>59287</v>
      </c>
      <c r="CG277" s="168">
        <v>1880923</v>
      </c>
      <c r="CH277" s="21"/>
      <c r="CI277" s="21"/>
      <c r="CJ277" s="21"/>
      <c r="CK277" s="21"/>
      <c r="CL277" s="21"/>
      <c r="CM277" s="21"/>
      <c r="CN277" s="21"/>
      <c r="CO277" s="21"/>
      <c r="CP277" s="21"/>
      <c r="CQ277" s="21"/>
      <c r="CR277" s="21"/>
      <c r="CS277" s="21"/>
      <c r="CT277" s="21"/>
      <c r="CU277" s="21"/>
      <c r="CV277" s="21"/>
      <c r="CW277" s="21"/>
      <c r="CX277" s="21"/>
      <c r="CY277" s="21"/>
      <c r="CZ277" s="21"/>
      <c r="DA277" s="21"/>
      <c r="DB277" s="21"/>
      <c r="DC277" s="21"/>
      <c r="DD277" s="21"/>
      <c r="DE277" s="21"/>
      <c r="DF277" s="21"/>
      <c r="DG277" s="21"/>
      <c r="DH277" s="21"/>
      <c r="DI277" s="21"/>
      <c r="DJ277" s="21"/>
      <c r="DK277" s="21"/>
      <c r="DL277" s="21"/>
      <c r="DM277" s="21"/>
      <c r="DN277" s="21"/>
      <c r="DO277" s="21"/>
      <c r="DP277" s="21"/>
      <c r="DQ277" s="21"/>
      <c r="DR277" s="21"/>
      <c r="DS277" s="21"/>
      <c r="DT277" s="21"/>
      <c r="DU277" s="21"/>
      <c r="DV277" s="21"/>
      <c r="DW277" s="21"/>
      <c r="DX277" s="21"/>
      <c r="DY277" s="21"/>
      <c r="DZ277" s="21"/>
      <c r="EA277" s="21"/>
      <c r="EB277" s="21"/>
      <c r="EC277" s="21"/>
      <c r="ED277" s="21"/>
      <c r="EE277" s="21"/>
      <c r="EF277" s="21"/>
      <c r="EG277" s="21"/>
      <c r="EH277" s="21"/>
      <c r="EI277" s="21"/>
      <c r="EJ277" s="21"/>
      <c r="EK277" s="168">
        <v>5771480</v>
      </c>
      <c r="EL277" s="168">
        <v>4979052</v>
      </c>
      <c r="EM277" s="168">
        <v>5314963</v>
      </c>
      <c r="EN277" s="168">
        <v>10750532</v>
      </c>
      <c r="EO277" s="168">
        <v>55902</v>
      </c>
      <c r="EP277" s="168">
        <v>10945382</v>
      </c>
      <c r="EQ277" s="168">
        <v>10387388</v>
      </c>
      <c r="ER277" s="168">
        <v>11001284</v>
      </c>
      <c r="ES277" s="168">
        <v>5827382</v>
      </c>
      <c r="ET277" s="168">
        <v>15924434</v>
      </c>
      <c r="EU277" s="168">
        <v>15702351</v>
      </c>
      <c r="EV277" s="168">
        <v>21751816</v>
      </c>
      <c r="EW277" s="21"/>
      <c r="EX277" s="21"/>
      <c r="EY277" s="21"/>
      <c r="EZ277" s="21"/>
      <c r="FA277" s="21"/>
      <c r="FB277" s="21"/>
      <c r="FC277" s="21"/>
      <c r="FD277" s="21"/>
      <c r="FE277" s="21"/>
      <c r="FF277" s="21"/>
      <c r="FG277" s="21"/>
      <c r="FH277" s="21"/>
      <c r="FI277" s="168">
        <v>336227</v>
      </c>
      <c r="FJ277" s="168">
        <v>680033</v>
      </c>
      <c r="FK277" s="21"/>
      <c r="FL277" s="21"/>
      <c r="FM277" s="21"/>
      <c r="FN277" s="21"/>
      <c r="FO277" s="21"/>
      <c r="FP277" s="21"/>
      <c r="FQ277" s="21"/>
      <c r="FR277" s="168">
        <v>19762</v>
      </c>
      <c r="FS277" s="21"/>
      <c r="FT277" s="21"/>
      <c r="FU277" s="168">
        <v>25249</v>
      </c>
      <c r="FV277" s="168">
        <v>-53951</v>
      </c>
      <c r="FW277" s="168">
        <v>257178</v>
      </c>
      <c r="FX277" s="168">
        <v>386740</v>
      </c>
      <c r="FY277" s="168">
        <v>149777</v>
      </c>
      <c r="FZ277" s="168">
        <v>223842</v>
      </c>
      <c r="GA277" s="21"/>
      <c r="GB277" s="21"/>
      <c r="GC277" s="21"/>
      <c r="GD277" s="21"/>
      <c r="GE277" s="21"/>
      <c r="GF277" s="21"/>
      <c r="GG277" s="21"/>
      <c r="GH277" s="21"/>
      <c r="GI277" s="21"/>
      <c r="GJ277" s="21"/>
      <c r="GK277" s="21"/>
      <c r="GL277" s="21"/>
      <c r="GM277" s="168">
        <v>794592</v>
      </c>
      <c r="GN277" s="168">
        <v>946845</v>
      </c>
      <c r="GO277" s="168">
        <v>794592</v>
      </c>
      <c r="GP277" s="168">
        <v>966607</v>
      </c>
      <c r="GQ277" s="21"/>
      <c r="GR277" s="21"/>
      <c r="GS277" s="168">
        <v>644815</v>
      </c>
      <c r="GT277" s="168">
        <v>723003</v>
      </c>
      <c r="GU277" s="168">
        <v>36456</v>
      </c>
      <c r="GV277" s="168">
        <v>73737</v>
      </c>
      <c r="GW277" s="168">
        <v>372683</v>
      </c>
      <c r="GX277" s="168">
        <v>753770</v>
      </c>
      <c r="GY277" s="21"/>
      <c r="GZ277" s="21"/>
      <c r="HA277" s="21"/>
      <c r="HB277" s="21"/>
      <c r="HC277" s="21"/>
      <c r="HD277" s="21"/>
      <c r="HE277" s="21"/>
      <c r="HF277" s="21"/>
      <c r="HG277" s="21"/>
      <c r="HH277" s="21"/>
      <c r="HI277" s="168">
        <v>10961</v>
      </c>
      <c r="HJ277" s="168">
        <v>108871</v>
      </c>
      <c r="HK277" s="21"/>
      <c r="HL277" s="21"/>
      <c r="HM277" s="21"/>
      <c r="HN277" s="21"/>
      <c r="HO277" s="21"/>
      <c r="HP277" s="21"/>
      <c r="HQ277" s="21"/>
      <c r="HR277" s="21"/>
      <c r="HS277" s="21"/>
      <c r="HT277" s="21"/>
      <c r="HU277" s="21"/>
      <c r="HV277" s="21"/>
      <c r="HW277" s="21"/>
      <c r="HX277" s="21"/>
      <c r="HY277" s="21"/>
      <c r="HZ277" s="21"/>
      <c r="IA277" s="21"/>
      <c r="IB277" s="21"/>
      <c r="IC277" s="21"/>
      <c r="ID277" s="21"/>
      <c r="IE277" s="21"/>
      <c r="IF277" s="21"/>
      <c r="IG277" s="21"/>
      <c r="IH277" s="21"/>
      <c r="II277" s="21"/>
      <c r="IJ277" s="21"/>
      <c r="IK277" s="21"/>
      <c r="IL277" s="21"/>
      <c r="IM277" s="21"/>
      <c r="IN277" s="21"/>
      <c r="IO277" s="21"/>
      <c r="IP277" s="21"/>
      <c r="IQ277" s="21"/>
      <c r="IR277" s="21"/>
      <c r="IS277" s="21"/>
      <c r="IT277" s="21"/>
      <c r="IU277" s="168">
        <v>740792</v>
      </c>
      <c r="IV277" s="168">
        <v>619363</v>
      </c>
      <c r="IW277" s="168">
        <v>738078</v>
      </c>
      <c r="IX277" s="168">
        <v>640389</v>
      </c>
      <c r="IY277" s="168">
        <v>2714</v>
      </c>
      <c r="IZ277" s="168">
        <v>-21026</v>
      </c>
      <c r="JA277" s="168">
        <v>386809</v>
      </c>
      <c r="JB277" s="168">
        <v>370836</v>
      </c>
      <c r="JC277" s="21"/>
      <c r="JD277" s="21"/>
      <c r="JE277" s="21"/>
      <c r="JF277" s="21"/>
      <c r="JG277" s="168">
        <v>23086</v>
      </c>
      <c r="JH277" s="168">
        <v>24266</v>
      </c>
      <c r="JI277" s="168">
        <v>72694604</v>
      </c>
      <c r="JJ277" s="168">
        <v>72202432</v>
      </c>
      <c r="JK277" s="168">
        <v>32473</v>
      </c>
      <c r="JL277" s="168">
        <v>52139</v>
      </c>
      <c r="JM277" s="168">
        <v>73432682</v>
      </c>
      <c r="JN277" s="168">
        <v>72842821</v>
      </c>
      <c r="JO277" s="168">
        <v>35187</v>
      </c>
      <c r="JP277" s="168">
        <v>31113</v>
      </c>
      <c r="JQ277" s="21"/>
      <c r="JR277" s="21"/>
      <c r="JS277" s="21"/>
      <c r="JT277" s="21"/>
      <c r="JU277" s="21"/>
      <c r="JV277" s="21"/>
      <c r="JW277" s="168">
        <v>73011826</v>
      </c>
      <c r="JX277" s="168">
        <v>72338848</v>
      </c>
      <c r="JY277" s="21"/>
      <c r="JZ277" s="21"/>
      <c r="KA277" s="21"/>
      <c r="KB277" s="21"/>
      <c r="KC277" s="21"/>
      <c r="KD277" s="21"/>
      <c r="KE277" s="21"/>
      <c r="KF277" s="21"/>
      <c r="KG277" s="21"/>
      <c r="KH277" s="21"/>
      <c r="KI277" s="21"/>
      <c r="KJ277" s="21"/>
      <c r="KK277" s="21"/>
      <c r="KL277" s="21"/>
      <c r="KM277" s="21"/>
      <c r="KN277" s="21"/>
      <c r="KO277" s="21"/>
      <c r="KP277" s="21"/>
      <c r="KQ277" s="168">
        <v>8657295</v>
      </c>
      <c r="KR277" s="168">
        <v>8633451</v>
      </c>
      <c r="KS277" s="21"/>
      <c r="KT277" s="21"/>
      <c r="KU277" s="21"/>
      <c r="KV277" s="21"/>
      <c r="KW277" s="21"/>
      <c r="KX277" s="21"/>
      <c r="KY277" s="21"/>
      <c r="KZ277" s="21"/>
      <c r="LA277" s="21"/>
      <c r="LB277" s="21"/>
      <c r="LC277" s="168">
        <v>149777</v>
      </c>
      <c r="LD277" s="168">
        <v>223842</v>
      </c>
      <c r="LE277" s="168">
        <v>1433585</v>
      </c>
      <c r="LF277" s="168">
        <v>1209744</v>
      </c>
      <c r="LG277" s="21"/>
      <c r="LH277" s="21"/>
      <c r="LI277" s="21"/>
      <c r="LJ277" s="21"/>
      <c r="LK277" s="21"/>
      <c r="LL277" s="21"/>
      <c r="LM277" s="21"/>
      <c r="LN277" s="21"/>
      <c r="LO277" s="21"/>
      <c r="LP277" s="21"/>
      <c r="LQ277" s="21"/>
      <c r="LR277" s="21"/>
      <c r="LS277" s="21"/>
      <c r="LT277" s="21"/>
      <c r="LU277" s="21"/>
      <c r="LV277" s="21"/>
      <c r="LW277" s="21"/>
      <c r="LX277" s="21"/>
      <c r="LY277" s="21"/>
      <c r="LZ277" s="21"/>
      <c r="MA277" s="21"/>
      <c r="MB277" s="21"/>
      <c r="MC277" s="168">
        <v>1215614</v>
      </c>
      <c r="MD277" s="168">
        <v>1345569</v>
      </c>
      <c r="ME277" s="21"/>
      <c r="MF277" s="21"/>
      <c r="MG277" s="168">
        <v>2507</v>
      </c>
      <c r="MH277" s="168">
        <v>2660</v>
      </c>
      <c r="MI277" s="21"/>
      <c r="MJ277" s="21"/>
      <c r="MK277" s="21"/>
      <c r="ML277" s="21"/>
      <c r="MM277" s="21"/>
      <c r="MN277" s="21"/>
      <c r="MO277" s="21"/>
      <c r="MP277" s="21"/>
      <c r="MQ277" s="21"/>
      <c r="MR277" s="21"/>
      <c r="MS277" s="21"/>
      <c r="MT277" s="21"/>
      <c r="MU277" s="21"/>
      <c r="MV277" s="21"/>
      <c r="MW277" s="21"/>
      <c r="MX277" s="21"/>
      <c r="MY277" s="21"/>
      <c r="MZ277" s="21"/>
      <c r="NA277" s="21"/>
      <c r="NB277" s="21"/>
      <c r="NC277" s="168">
        <v>644815</v>
      </c>
      <c r="ND277" s="168">
        <v>723003</v>
      </c>
      <c r="NE277" s="21"/>
      <c r="NF277" s="21"/>
      <c r="NG277" s="168">
        <v>2993236</v>
      </c>
      <c r="NH277" s="168">
        <v>2548422</v>
      </c>
      <c r="NI277" s="21"/>
      <c r="NJ277" s="21"/>
      <c r="NK277" s="168">
        <v>1583362</v>
      </c>
      <c r="NL277" s="168">
        <v>1433586</v>
      </c>
      <c r="NM277" s="168">
        <v>9872909</v>
      </c>
      <c r="NN277" s="168">
        <v>9979020</v>
      </c>
      <c r="NO277" s="168">
        <v>15924434</v>
      </c>
      <c r="NP277" s="168">
        <v>15702351</v>
      </c>
      <c r="NQ277" s="168" t="s">
        <v>991</v>
      </c>
      <c r="NR277" s="168" t="s">
        <v>769</v>
      </c>
      <c r="NS277" s="168" t="s">
        <v>770</v>
      </c>
      <c r="NT277" s="168" t="s">
        <v>771</v>
      </c>
      <c r="NU277" s="168">
        <v>301</v>
      </c>
      <c r="NV277" s="168" t="s">
        <v>2104</v>
      </c>
      <c r="NW277" s="168" t="s">
        <v>28</v>
      </c>
      <c r="NX277" s="168" t="s">
        <v>25</v>
      </c>
      <c r="NY277" s="169">
        <v>42766</v>
      </c>
      <c r="NZ277" s="169">
        <v>42400</v>
      </c>
      <c r="OA277" s="169">
        <v>43069</v>
      </c>
      <c r="OB277" s="168" t="s">
        <v>1081</v>
      </c>
      <c r="OC277" s="168">
        <v>12</v>
      </c>
      <c r="OD277" s="168" t="s">
        <v>2105</v>
      </c>
      <c r="OE277" s="168" t="s">
        <v>2537</v>
      </c>
      <c r="OF277" s="168" t="s">
        <v>2278</v>
      </c>
      <c r="OG277" s="168" t="s">
        <v>1870</v>
      </c>
      <c r="OH277" s="168" t="s">
        <v>990</v>
      </c>
      <c r="OI277" s="168" t="s">
        <v>766</v>
      </c>
      <c r="OJ277" s="168" t="s">
        <v>3240</v>
      </c>
      <c r="OK277" s="168" t="s">
        <v>767</v>
      </c>
    </row>
    <row r="278" spans="1:401" x14ac:dyDescent="0.2">
      <c r="A278" s="170" t="str">
        <f>Liste[[#This Row],[Siren]]</f>
        <v>518911839</v>
      </c>
      <c r="B278" s="198" t="str">
        <f>Liste[[#This Row],[Dénomination]]&amp;" - comptes "&amp;YEAR(Liste[[#This Row],[Date de cloture de l''exercice]])</f>
        <v>KASHMIR - comptes 2017</v>
      </c>
      <c r="C278" s="21"/>
      <c r="D278" s="21"/>
      <c r="E278" s="21"/>
      <c r="F278" s="168">
        <v>2694392</v>
      </c>
      <c r="G278" s="168">
        <v>2892643</v>
      </c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168">
        <v>336040</v>
      </c>
      <c r="BA278" s="168">
        <v>335686</v>
      </c>
      <c r="BB278" s="21"/>
      <c r="BC278" s="21"/>
      <c r="BD278" s="168">
        <v>583406</v>
      </c>
      <c r="BE278" s="168">
        <v>357674</v>
      </c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168">
        <v>31282643</v>
      </c>
      <c r="BY278" s="168">
        <v>29243656</v>
      </c>
      <c r="BZ278" s="21"/>
      <c r="CA278" s="168">
        <v>881</v>
      </c>
      <c r="CB278" s="21"/>
      <c r="CC278" s="21"/>
      <c r="CD278" s="21"/>
      <c r="CE278" s="168">
        <v>32759000</v>
      </c>
      <c r="CF278" s="168">
        <v>32759000</v>
      </c>
      <c r="CG278" s="21"/>
      <c r="CH278" s="21"/>
      <c r="CI278" s="21"/>
      <c r="CJ278" s="21"/>
      <c r="CK278" s="21"/>
      <c r="CL278" s="21"/>
      <c r="CM278" s="21"/>
      <c r="CN278" s="21"/>
      <c r="CO278" s="21"/>
      <c r="CP278" s="21"/>
      <c r="CQ278" s="21"/>
      <c r="CR278" s="21"/>
      <c r="CS278" s="21"/>
      <c r="CT278" s="21"/>
      <c r="CU278" s="21"/>
      <c r="CV278" s="21"/>
      <c r="CW278" s="21"/>
      <c r="CX278" s="21"/>
      <c r="CY278" s="21"/>
      <c r="CZ278" s="21"/>
      <c r="DA278" s="21"/>
      <c r="DB278" s="21"/>
      <c r="DC278" s="21"/>
      <c r="DD278" s="21"/>
      <c r="DE278" s="21"/>
      <c r="DF278" s="21"/>
      <c r="DG278" s="21"/>
      <c r="DH278" s="21"/>
      <c r="DI278" s="21"/>
      <c r="DJ278" s="21"/>
      <c r="DK278" s="21"/>
      <c r="DL278" s="21"/>
      <c r="DM278" s="21"/>
      <c r="DN278" s="21"/>
      <c r="DO278" s="21"/>
      <c r="DP278" s="21"/>
      <c r="DQ278" s="21"/>
      <c r="DR278" s="21"/>
      <c r="DS278" s="21"/>
      <c r="DT278" s="21"/>
      <c r="DU278" s="21"/>
      <c r="DV278" s="21"/>
      <c r="DW278" s="21"/>
      <c r="DX278" s="21"/>
      <c r="DY278" s="21"/>
      <c r="DZ278" s="21"/>
      <c r="EA278" s="21"/>
      <c r="EB278" s="21"/>
      <c r="EC278" s="21"/>
      <c r="ED278" s="21"/>
      <c r="EE278" s="21"/>
      <c r="EF278" s="21"/>
      <c r="EG278" s="21"/>
      <c r="EH278" s="21"/>
      <c r="EI278" s="21"/>
      <c r="EJ278" s="21"/>
      <c r="EK278" s="21"/>
      <c r="EL278" s="168">
        <v>18375269</v>
      </c>
      <c r="EM278" s="168">
        <v>16964521</v>
      </c>
      <c r="EN278" s="21"/>
      <c r="EO278" s="21"/>
      <c r="EP278" s="168">
        <v>47795719</v>
      </c>
      <c r="EQ278" s="168">
        <v>37124946</v>
      </c>
      <c r="ER278" s="21"/>
      <c r="ES278" s="21"/>
      <c r="ET278" s="168">
        <v>98930869</v>
      </c>
      <c r="EU278" s="168">
        <v>86848467</v>
      </c>
      <c r="EV278" s="21"/>
      <c r="EW278" s="21"/>
      <c r="EX278" s="21"/>
      <c r="EY278" s="21"/>
      <c r="EZ278" s="21"/>
      <c r="FA278" s="21"/>
      <c r="FB278" s="21"/>
      <c r="FC278" s="21"/>
      <c r="FD278" s="21"/>
      <c r="FE278" s="21"/>
      <c r="FF278" s="21"/>
      <c r="FG278" s="21"/>
      <c r="FH278" s="21"/>
      <c r="FI278" s="168">
        <v>824187</v>
      </c>
      <c r="FJ278" s="168">
        <v>71610</v>
      </c>
      <c r="FK278" s="21"/>
      <c r="FL278" s="21"/>
      <c r="FM278" s="21"/>
      <c r="FN278" s="21"/>
      <c r="FO278" s="21"/>
      <c r="FP278" s="21"/>
      <c r="FQ278" s="21"/>
      <c r="FR278" s="21"/>
      <c r="FS278" s="21"/>
      <c r="FT278" s="21"/>
      <c r="FU278" s="21"/>
      <c r="FV278" s="21"/>
      <c r="FW278" s="168">
        <v>1460742</v>
      </c>
      <c r="FX278" s="168">
        <v>1746265</v>
      </c>
      <c r="FY278" s="21"/>
      <c r="FZ278" s="21"/>
      <c r="GA278" s="168">
        <v>391824</v>
      </c>
      <c r="GB278" s="168">
        <v>427028</v>
      </c>
      <c r="GC278" s="21"/>
      <c r="GD278" s="21"/>
      <c r="GE278" s="21"/>
      <c r="GF278" s="21"/>
      <c r="GG278" s="21"/>
      <c r="GH278" s="21"/>
      <c r="GI278" s="21"/>
      <c r="GJ278" s="21"/>
      <c r="GK278" s="21"/>
      <c r="GL278" s="21"/>
      <c r="GM278" s="168">
        <v>4966223</v>
      </c>
      <c r="GN278" s="168">
        <v>1938432</v>
      </c>
      <c r="GO278" s="21"/>
      <c r="GP278" s="21"/>
      <c r="GQ278" s="21"/>
      <c r="GR278" s="21"/>
      <c r="GS278" s="21"/>
      <c r="GT278" s="21"/>
      <c r="GU278" s="168">
        <v>14849</v>
      </c>
      <c r="GV278" s="168">
        <v>18109</v>
      </c>
      <c r="GW278" s="168">
        <v>839036</v>
      </c>
      <c r="GX278" s="168">
        <v>89719</v>
      </c>
      <c r="GY278" s="21"/>
      <c r="GZ278" s="21"/>
      <c r="HA278" s="21"/>
      <c r="HB278" s="21"/>
      <c r="HC278" s="168">
        <v>6157796</v>
      </c>
      <c r="HD278" s="168">
        <v>5884788</v>
      </c>
      <c r="HE278" s="168">
        <v>28797</v>
      </c>
      <c r="HF278" s="168">
        <v>215849</v>
      </c>
      <c r="HG278" s="21"/>
      <c r="HH278" s="21"/>
      <c r="HI278" s="168">
        <v>33039</v>
      </c>
      <c r="HJ278" s="168">
        <v>31650</v>
      </c>
      <c r="HK278" s="21"/>
      <c r="HL278" s="21"/>
      <c r="HM278" s="21"/>
      <c r="HN278" s="21"/>
      <c r="HO278" s="21"/>
      <c r="HP278" s="21"/>
      <c r="HQ278" s="21"/>
      <c r="HR278" s="21"/>
      <c r="HS278" s="21"/>
      <c r="HT278" s="21"/>
      <c r="HU278" s="168">
        <v>1387642</v>
      </c>
      <c r="HV278" s="168">
        <v>3010127</v>
      </c>
      <c r="HW278" s="21"/>
      <c r="HX278" s="21"/>
      <c r="HY278" s="168">
        <v>257095</v>
      </c>
      <c r="HZ278" s="168">
        <v>232546</v>
      </c>
      <c r="IA278" s="21"/>
      <c r="IB278" s="21"/>
      <c r="IC278" s="21"/>
      <c r="ID278" s="21"/>
      <c r="IE278" s="168">
        <v>1596583</v>
      </c>
      <c r="IF278" s="168">
        <v>1648548</v>
      </c>
      <c r="IG278" s="21"/>
      <c r="IH278" s="21"/>
      <c r="II278" s="21"/>
      <c r="IJ278" s="21"/>
      <c r="IK278" s="21"/>
      <c r="IL278" s="21"/>
      <c r="IM278" s="21"/>
      <c r="IN278" s="21"/>
      <c r="IO278" s="21"/>
      <c r="IP278" s="21"/>
      <c r="IQ278" s="21"/>
      <c r="IR278" s="21"/>
      <c r="IS278" s="21"/>
      <c r="IT278" s="21"/>
      <c r="IU278" s="168">
        <v>5994601</v>
      </c>
      <c r="IV278" s="168">
        <v>4040115</v>
      </c>
      <c r="IW278" s="168">
        <v>5533176</v>
      </c>
      <c r="IX278" s="168">
        <v>3531379</v>
      </c>
      <c r="IY278" s="168">
        <v>461426</v>
      </c>
      <c r="IZ278" s="168">
        <v>508736</v>
      </c>
      <c r="JA278" s="168">
        <v>135184</v>
      </c>
      <c r="JB278" s="168">
        <v>412960</v>
      </c>
      <c r="JC278" s="21"/>
      <c r="JD278" s="21"/>
      <c r="JE278" s="21"/>
      <c r="JF278" s="21"/>
      <c r="JG278" s="21"/>
      <c r="JH278" s="168">
        <v>3178</v>
      </c>
      <c r="JI278" s="168">
        <v>97761117</v>
      </c>
      <c r="JJ278" s="168">
        <v>98782138</v>
      </c>
      <c r="JK278" s="168">
        <v>922657</v>
      </c>
      <c r="JL278" s="168">
        <v>420397</v>
      </c>
      <c r="JM278" s="168">
        <v>103294293</v>
      </c>
      <c r="JN278" s="168">
        <v>102313517</v>
      </c>
      <c r="JO278" s="168">
        <v>1384083</v>
      </c>
      <c r="JP278" s="168">
        <v>1352200</v>
      </c>
      <c r="JQ278" s="21"/>
      <c r="JR278" s="21"/>
      <c r="JS278" s="21"/>
      <c r="JT278" s="21"/>
      <c r="JU278" s="21"/>
      <c r="JV278" s="21"/>
      <c r="JW278" s="168">
        <v>103126070</v>
      </c>
      <c r="JX278" s="168">
        <v>101865729</v>
      </c>
      <c r="JY278" s="21"/>
      <c r="JZ278" s="21"/>
      <c r="KA278" s="21"/>
      <c r="KB278" s="21"/>
      <c r="KC278" s="21"/>
      <c r="KD278" s="21"/>
      <c r="KE278" s="21"/>
      <c r="KF278" s="21"/>
      <c r="KG278" s="21"/>
      <c r="KH278" s="21"/>
      <c r="KI278" s="168">
        <v>98739739</v>
      </c>
      <c r="KJ278" s="168">
        <v>97403608</v>
      </c>
      <c r="KK278" s="21"/>
      <c r="KL278" s="21"/>
      <c r="KM278" s="21"/>
      <c r="KN278" s="21"/>
      <c r="KO278" s="21"/>
      <c r="KP278" s="21"/>
      <c r="KQ278" s="168">
        <v>1292284</v>
      </c>
      <c r="KR278" s="168">
        <v>1393704</v>
      </c>
      <c r="KS278" s="21"/>
      <c r="KT278" s="21"/>
      <c r="KU278" s="21"/>
      <c r="KV278" s="21"/>
      <c r="KW278" s="21"/>
      <c r="KX278" s="21"/>
      <c r="KY278" s="21"/>
      <c r="KZ278" s="21"/>
      <c r="LA278" s="168">
        <v>44692100</v>
      </c>
      <c r="LB278" s="168">
        <v>44692100</v>
      </c>
      <c r="LC278" s="21"/>
      <c r="LD278" s="21"/>
      <c r="LE278" s="21"/>
      <c r="LF278" s="21"/>
      <c r="LG278" s="21"/>
      <c r="LH278" s="21"/>
      <c r="LI278" s="168">
        <v>3913936</v>
      </c>
      <c r="LJ278" s="168">
        <v>3680867</v>
      </c>
      <c r="LK278" s="168">
        <v>6728523</v>
      </c>
      <c r="LL278" s="168">
        <v>6832957</v>
      </c>
      <c r="LM278" s="168">
        <v>238393</v>
      </c>
      <c r="LN278" s="168">
        <v>8082</v>
      </c>
      <c r="LO278" s="21"/>
      <c r="LP278" s="21"/>
      <c r="LQ278" s="21"/>
      <c r="LR278" s="21"/>
      <c r="LS278" s="21"/>
      <c r="LT278" s="21"/>
      <c r="LU278" s="21"/>
      <c r="LV278" s="21"/>
      <c r="LW278" s="21"/>
      <c r="LX278" s="21"/>
      <c r="LY278" s="21"/>
      <c r="LZ278" s="21"/>
      <c r="MA278" s="168">
        <v>29721565</v>
      </c>
      <c r="MB278" s="168">
        <v>23132702</v>
      </c>
      <c r="MC278" s="168">
        <v>5334</v>
      </c>
      <c r="MD278" s="168">
        <v>16222</v>
      </c>
      <c r="ME278" s="21"/>
      <c r="MF278" s="21"/>
      <c r="MG278" s="168">
        <v>935638</v>
      </c>
      <c r="MH278" s="168">
        <v>945161</v>
      </c>
      <c r="MI278" s="21"/>
      <c r="MJ278" s="21"/>
      <c r="MK278" s="21"/>
      <c r="ML278" s="21"/>
      <c r="MM278" s="21"/>
      <c r="MN278" s="21"/>
      <c r="MO278" s="21"/>
      <c r="MP278" s="21"/>
      <c r="MQ278" s="21"/>
      <c r="MR278" s="21"/>
      <c r="MS278" s="21"/>
      <c r="MT278" s="21"/>
      <c r="MU278" s="21"/>
      <c r="MV278" s="21"/>
      <c r="MW278" s="168">
        <v>4969962</v>
      </c>
      <c r="MX278" s="168">
        <v>3022496</v>
      </c>
      <c r="MY278" s="21"/>
      <c r="MZ278" s="21"/>
      <c r="NA278" s="21"/>
      <c r="NB278" s="21"/>
      <c r="NC278" s="168">
        <v>4966223</v>
      </c>
      <c r="ND278" s="168">
        <v>1938432</v>
      </c>
      <c r="NE278" s="21"/>
      <c r="NF278" s="21"/>
      <c r="NG278" s="168">
        <v>54628284</v>
      </c>
      <c r="NH278" s="168">
        <v>49653029</v>
      </c>
      <c r="NI278" s="21"/>
      <c r="NJ278" s="21"/>
      <c r="NK278" s="21"/>
      <c r="NL278" s="21"/>
      <c r="NM278" s="168">
        <v>42835673</v>
      </c>
      <c r="NN278" s="168">
        <v>36009695</v>
      </c>
      <c r="NO278" s="168">
        <v>98930869</v>
      </c>
      <c r="NP278" s="168">
        <v>86848477</v>
      </c>
      <c r="NQ278" s="168" t="s">
        <v>1456</v>
      </c>
      <c r="NR278" s="168" t="s">
        <v>802</v>
      </c>
      <c r="NS278" s="168" t="s">
        <v>770</v>
      </c>
      <c r="NT278" s="168" t="s">
        <v>771</v>
      </c>
      <c r="NU278" s="168">
        <v>602</v>
      </c>
      <c r="NV278" s="168" t="s">
        <v>2104</v>
      </c>
      <c r="NW278" s="168" t="s">
        <v>28</v>
      </c>
      <c r="NX278" s="168" t="s">
        <v>25</v>
      </c>
      <c r="NY278" s="169">
        <v>42766</v>
      </c>
      <c r="NZ278" s="169">
        <v>42400</v>
      </c>
      <c r="OA278" s="169">
        <v>43035</v>
      </c>
      <c r="OB278" s="168" t="s">
        <v>1457</v>
      </c>
      <c r="OC278" s="168">
        <v>12</v>
      </c>
      <c r="OD278" s="168" t="s">
        <v>2105</v>
      </c>
      <c r="OE278" s="168" t="s">
        <v>2464</v>
      </c>
      <c r="OF278" s="168" t="s">
        <v>2555</v>
      </c>
      <c r="OG278" s="168" t="s">
        <v>2028</v>
      </c>
      <c r="OH278" s="168" t="s">
        <v>1045</v>
      </c>
      <c r="OI278" s="168" t="s">
        <v>766</v>
      </c>
      <c r="OJ278" s="168" t="s">
        <v>3240</v>
      </c>
      <c r="OK278" s="168" t="s">
        <v>801</v>
      </c>
    </row>
    <row r="279" spans="1:401" x14ac:dyDescent="0.2">
      <c r="A279" s="170" t="str">
        <f>Liste[[#This Row],[Siren]]</f>
        <v>397681271</v>
      </c>
      <c r="B279" s="198" t="str">
        <f>Liste[[#This Row],[Dénomination]]&amp;" - comptes "&amp;YEAR(Liste[[#This Row],[Date de cloture de l''exercice]])</f>
        <v>BRIZADIS - comptes 2017</v>
      </c>
      <c r="C279" s="21"/>
      <c r="D279" s="21"/>
      <c r="E279" s="168">
        <v>33292</v>
      </c>
      <c r="F279" s="168">
        <v>4542870</v>
      </c>
      <c r="G279" s="168">
        <v>3871435</v>
      </c>
      <c r="H279" s="168">
        <v>4576162</v>
      </c>
      <c r="I279" s="168">
        <v>3241862</v>
      </c>
      <c r="J279" s="168">
        <v>4158971</v>
      </c>
      <c r="K279" s="168">
        <v>1644331</v>
      </c>
      <c r="L279" s="168">
        <v>7400833</v>
      </c>
      <c r="M279" s="21"/>
      <c r="N279" s="168">
        <v>519697</v>
      </c>
      <c r="O279" s="168">
        <v>506737</v>
      </c>
      <c r="P279" s="168">
        <v>519697</v>
      </c>
      <c r="Q279" s="168">
        <v>694055</v>
      </c>
      <c r="R279" s="168">
        <v>253563</v>
      </c>
      <c r="S279" s="168">
        <v>358854</v>
      </c>
      <c r="T279" s="168">
        <v>947618</v>
      </c>
      <c r="U279" s="21"/>
      <c r="V279" s="21"/>
      <c r="W279" s="21"/>
      <c r="X279" s="21"/>
      <c r="Y279" s="21"/>
      <c r="Z279" s="168">
        <v>1749443</v>
      </c>
      <c r="AA279" s="168">
        <v>1738313</v>
      </c>
      <c r="AB279" s="168">
        <v>1749443</v>
      </c>
      <c r="AC279" s="21"/>
      <c r="AD279" s="21"/>
      <c r="AE279" s="21"/>
      <c r="AF279" s="21"/>
      <c r="AG279" s="21"/>
      <c r="AH279" s="21"/>
      <c r="AI279" s="21"/>
      <c r="AJ279" s="21"/>
      <c r="AK279" s="21"/>
      <c r="AL279" s="168">
        <v>80436</v>
      </c>
      <c r="AM279" s="21"/>
      <c r="AN279" s="168">
        <v>80436</v>
      </c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168">
        <v>100964</v>
      </c>
      <c r="BD279" s="168">
        <v>894606</v>
      </c>
      <c r="BE279" s="168">
        <v>835018</v>
      </c>
      <c r="BF279" s="168">
        <v>995570</v>
      </c>
      <c r="BG279" s="168">
        <v>205392</v>
      </c>
      <c r="BH279" s="168">
        <v>30476</v>
      </c>
      <c r="BI279" s="168">
        <v>37687</v>
      </c>
      <c r="BJ279" s="168">
        <v>235868</v>
      </c>
      <c r="BK279" s="168">
        <v>27009204</v>
      </c>
      <c r="BL279" s="168">
        <v>33522842</v>
      </c>
      <c r="BM279" s="168">
        <v>32424754</v>
      </c>
      <c r="BN279" s="168">
        <v>60532046</v>
      </c>
      <c r="BO279" s="21"/>
      <c r="BP279" s="21"/>
      <c r="BQ279" s="21"/>
      <c r="BR279" s="21"/>
      <c r="BS279" s="21"/>
      <c r="BT279" s="21"/>
      <c r="BU279" s="21"/>
      <c r="BV279" s="21"/>
      <c r="BW279" s="21"/>
      <c r="BX279" s="168">
        <v>3066646</v>
      </c>
      <c r="BY279" s="168">
        <v>2164866</v>
      </c>
      <c r="BZ279" s="168">
        <v>3066646</v>
      </c>
      <c r="CA279" s="21"/>
      <c r="CB279" s="21"/>
      <c r="CC279" s="21"/>
      <c r="CD279" s="21"/>
      <c r="CE279" s="21"/>
      <c r="CF279" s="21"/>
      <c r="CG279" s="21"/>
      <c r="CH279" s="21"/>
      <c r="CI279" s="21"/>
      <c r="CJ279" s="21"/>
      <c r="CK279" s="21"/>
      <c r="CL279" s="21"/>
      <c r="CM279" s="21"/>
      <c r="CN279" s="21"/>
      <c r="CO279" s="21"/>
      <c r="CP279" s="21"/>
      <c r="CQ279" s="21"/>
      <c r="CR279" s="21"/>
      <c r="CS279" s="21"/>
      <c r="CT279" s="21"/>
      <c r="CU279" s="21"/>
      <c r="CV279" s="21"/>
      <c r="CW279" s="21"/>
      <c r="CX279" s="21"/>
      <c r="CY279" s="21"/>
      <c r="CZ279" s="21"/>
      <c r="DA279" s="21"/>
      <c r="DB279" s="21"/>
      <c r="DC279" s="168">
        <v>174085</v>
      </c>
      <c r="DD279" s="168">
        <v>607060</v>
      </c>
      <c r="DE279" s="168">
        <v>174085</v>
      </c>
      <c r="DF279" s="168">
        <v>2453777</v>
      </c>
      <c r="DG279" s="168">
        <v>1233152</v>
      </c>
      <c r="DH279" s="168">
        <v>822077</v>
      </c>
      <c r="DI279" s="168">
        <v>3686929</v>
      </c>
      <c r="DJ279" s="168">
        <v>425206</v>
      </c>
      <c r="DK279" s="168">
        <v>8162810</v>
      </c>
      <c r="DL279" s="168">
        <v>8063136</v>
      </c>
      <c r="DM279" s="168">
        <v>8588016</v>
      </c>
      <c r="DN279" s="21"/>
      <c r="DO279" s="168">
        <v>141830</v>
      </c>
      <c r="DP279" s="168">
        <v>137075</v>
      </c>
      <c r="DQ279" s="168">
        <v>141830</v>
      </c>
      <c r="DR279" s="21"/>
      <c r="DS279" s="21"/>
      <c r="DT279" s="21"/>
      <c r="DU279" s="21"/>
      <c r="DV279" s="21"/>
      <c r="DW279" s="168">
        <v>51545</v>
      </c>
      <c r="DX279" s="168">
        <v>76828</v>
      </c>
      <c r="DY279" s="168">
        <v>51545</v>
      </c>
      <c r="DZ279" s="21"/>
      <c r="EA279" s="21"/>
      <c r="EB279" s="21"/>
      <c r="EC279" s="21"/>
      <c r="ED279" s="21"/>
      <c r="EE279" s="21"/>
      <c r="EF279" s="21"/>
      <c r="EG279" s="21"/>
      <c r="EH279" s="21"/>
      <c r="EI279" s="21"/>
      <c r="EJ279" s="21"/>
      <c r="EK279" s="168">
        <v>33909185</v>
      </c>
      <c r="EL279" s="168">
        <v>47227667</v>
      </c>
      <c r="EM279" s="168">
        <v>43631348</v>
      </c>
      <c r="EN279" s="168">
        <v>81136852</v>
      </c>
      <c r="EO279" s="168">
        <v>559462</v>
      </c>
      <c r="EP279" s="168">
        <v>19346312</v>
      </c>
      <c r="EQ279" s="168">
        <v>22060336</v>
      </c>
      <c r="ER279" s="168">
        <v>19905774</v>
      </c>
      <c r="ES279" s="168">
        <v>38795173</v>
      </c>
      <c r="ET279" s="168">
        <v>79364425</v>
      </c>
      <c r="EU279" s="168">
        <v>78482130</v>
      </c>
      <c r="EV279" s="168">
        <v>118159598</v>
      </c>
      <c r="EW279" s="168">
        <v>304895</v>
      </c>
      <c r="EX279" s="168">
        <v>4624858</v>
      </c>
      <c r="EY279" s="168">
        <v>4600189</v>
      </c>
      <c r="EZ279" s="168">
        <v>4929753</v>
      </c>
      <c r="FA279" s="168">
        <v>33909185</v>
      </c>
      <c r="FB279" s="168">
        <v>47227667</v>
      </c>
      <c r="FC279" s="168">
        <v>43631348</v>
      </c>
      <c r="FD279" s="168">
        <v>81136852</v>
      </c>
      <c r="FE279" s="21"/>
      <c r="FF279" s="168">
        <v>2000000</v>
      </c>
      <c r="FG279" s="168">
        <v>6500000</v>
      </c>
      <c r="FH279" s="168">
        <v>2000000</v>
      </c>
      <c r="FI279" s="168">
        <v>-216976</v>
      </c>
      <c r="FJ279" s="168">
        <v>-213103</v>
      </c>
      <c r="FK279" s="21"/>
      <c r="FL279" s="21"/>
      <c r="FM279" s="168">
        <v>189053</v>
      </c>
      <c r="FN279" s="168">
        <v>319808</v>
      </c>
      <c r="FO279" s="21"/>
      <c r="FP279" s="168">
        <v>81618</v>
      </c>
      <c r="FQ279" s="21"/>
      <c r="FR279" s="168">
        <v>539860</v>
      </c>
      <c r="FS279" s="168">
        <v>117690</v>
      </c>
      <c r="FT279" s="168">
        <v>64122</v>
      </c>
      <c r="FU279" s="168">
        <v>361135</v>
      </c>
      <c r="FV279" s="168">
        <v>61048</v>
      </c>
      <c r="FW279" s="168">
        <v>52325</v>
      </c>
      <c r="FX279" s="168">
        <v>613586</v>
      </c>
      <c r="FY279" s="168">
        <v>16940</v>
      </c>
      <c r="FZ279" s="168">
        <v>15307</v>
      </c>
      <c r="GA279" s="21"/>
      <c r="GB279" s="21"/>
      <c r="GC279" s="168">
        <v>53930</v>
      </c>
      <c r="GD279" s="168">
        <v>19541</v>
      </c>
      <c r="GE279" s="168">
        <v>10000</v>
      </c>
      <c r="GF279" s="168">
        <v>20000</v>
      </c>
      <c r="GG279" s="21"/>
      <c r="GH279" s="21"/>
      <c r="GI279" s="21"/>
      <c r="GJ279" s="21"/>
      <c r="GK279" s="168">
        <v>25837</v>
      </c>
      <c r="GL279" s="168">
        <v>212904</v>
      </c>
      <c r="GM279" s="168">
        <v>3005159</v>
      </c>
      <c r="GN279" s="168">
        <v>2599015</v>
      </c>
      <c r="GO279" s="168">
        <v>3005159</v>
      </c>
      <c r="GP279" s="168">
        <v>3138875</v>
      </c>
      <c r="GQ279" s="21"/>
      <c r="GR279" s="21"/>
      <c r="GS279" s="168">
        <v>2988219</v>
      </c>
      <c r="GT279" s="168">
        <v>2583708</v>
      </c>
      <c r="GU279" s="168">
        <v>306743</v>
      </c>
      <c r="GV279" s="168">
        <v>465548</v>
      </c>
      <c r="GW279" s="168">
        <v>89767</v>
      </c>
      <c r="GX279" s="168">
        <v>252445</v>
      </c>
      <c r="GY279" s="168">
        <v>85321940</v>
      </c>
      <c r="GZ279" s="168">
        <v>84676989</v>
      </c>
      <c r="HA279" s="168">
        <v>291039</v>
      </c>
      <c r="HB279" s="168">
        <v>279144</v>
      </c>
      <c r="HC279" s="168">
        <v>7773660</v>
      </c>
      <c r="HD279" s="168">
        <v>7227946</v>
      </c>
      <c r="HE279" s="168">
        <v>170181</v>
      </c>
      <c r="HF279" s="168">
        <v>127200</v>
      </c>
      <c r="HG279" s="168">
        <v>378548</v>
      </c>
      <c r="HH279" s="168">
        <v>310613</v>
      </c>
      <c r="HI279" s="168">
        <v>479333</v>
      </c>
      <c r="HJ279" s="168">
        <v>434201</v>
      </c>
      <c r="HK279" s="168">
        <v>48771</v>
      </c>
      <c r="HL279" s="168">
        <v>65026</v>
      </c>
      <c r="HM279" s="21"/>
      <c r="HN279" s="21"/>
      <c r="HO279" s="168">
        <v>3749383</v>
      </c>
      <c r="HP279" s="168">
        <v>3587528</v>
      </c>
      <c r="HQ279" s="21"/>
      <c r="HR279" s="21"/>
      <c r="HS279" s="21"/>
      <c r="HT279" s="21"/>
      <c r="HU279" s="168">
        <v>2984895</v>
      </c>
      <c r="HV279" s="168">
        <v>3052270</v>
      </c>
      <c r="HW279" s="21"/>
      <c r="HX279" s="21"/>
      <c r="HY279" s="168">
        <v>3295</v>
      </c>
      <c r="HZ279" s="168">
        <v>18889</v>
      </c>
      <c r="IA279" s="168">
        <v>548930</v>
      </c>
      <c r="IB279" s="168">
        <v>501116</v>
      </c>
      <c r="IC279" s="21"/>
      <c r="ID279" s="21"/>
      <c r="IE279" s="168">
        <v>2381662</v>
      </c>
      <c r="IF279" s="168">
        <v>2319040</v>
      </c>
      <c r="IG279" s="168">
        <v>918027</v>
      </c>
      <c r="IH279" s="168">
        <v>1144158</v>
      </c>
      <c r="II279" s="21"/>
      <c r="IJ279" s="21"/>
      <c r="IK279" s="21"/>
      <c r="IL279" s="21"/>
      <c r="IM279" s="21"/>
      <c r="IN279" s="21"/>
      <c r="IO279" s="168">
        <v>4821</v>
      </c>
      <c r="IP279" s="168">
        <v>17885</v>
      </c>
      <c r="IQ279" s="21"/>
      <c r="IR279" s="21"/>
      <c r="IS279" s="21"/>
      <c r="IT279" s="21"/>
      <c r="IU279" s="168">
        <v>3635595</v>
      </c>
      <c r="IV279" s="168">
        <v>4026612</v>
      </c>
      <c r="IW279" s="168">
        <v>4106892</v>
      </c>
      <c r="IX279" s="168">
        <v>4777247</v>
      </c>
      <c r="IY279" s="168">
        <v>-520068</v>
      </c>
      <c r="IZ279" s="168">
        <v>-815660</v>
      </c>
      <c r="JA279" s="168">
        <v>1199548</v>
      </c>
      <c r="JB279" s="168">
        <v>649407</v>
      </c>
      <c r="JC279" s="168">
        <v>14590</v>
      </c>
      <c r="JD279" s="21"/>
      <c r="JE279" s="168">
        <v>11641793</v>
      </c>
      <c r="JF279" s="168">
        <v>11149452</v>
      </c>
      <c r="JG279" s="21"/>
      <c r="JH279" s="21"/>
      <c r="JI279" s="168">
        <v>114808897</v>
      </c>
      <c r="JJ279" s="168">
        <v>112870553</v>
      </c>
      <c r="JK279" s="168">
        <v>918027</v>
      </c>
      <c r="JL279" s="168">
        <v>1144158</v>
      </c>
      <c r="JM279" s="168">
        <v>118915789</v>
      </c>
      <c r="JN279" s="168">
        <v>117647800</v>
      </c>
      <c r="JO279" s="168">
        <v>397959</v>
      </c>
      <c r="JP279" s="168">
        <v>328498</v>
      </c>
      <c r="JQ279" s="168">
        <v>-53126</v>
      </c>
      <c r="JR279" s="168">
        <v>-79636</v>
      </c>
      <c r="JS279" s="168">
        <v>-4755</v>
      </c>
      <c r="JT279" s="168">
        <v>10615</v>
      </c>
      <c r="JU279" s="21"/>
      <c r="JV279" s="168">
        <v>117236910</v>
      </c>
      <c r="JW279" s="168">
        <v>117236910</v>
      </c>
      <c r="JX279" s="168">
        <v>116564192</v>
      </c>
      <c r="JY279" s="21"/>
      <c r="JZ279" s="21"/>
      <c r="KA279" s="21"/>
      <c r="KB279" s="21"/>
      <c r="KC279" s="21"/>
      <c r="KD279" s="168">
        <v>5181138</v>
      </c>
      <c r="KE279" s="168">
        <v>5181138</v>
      </c>
      <c r="KF279" s="168">
        <v>5186406</v>
      </c>
      <c r="KG279" s="21"/>
      <c r="KH279" s="168">
        <v>112055772</v>
      </c>
      <c r="KI279" s="168">
        <v>112055772</v>
      </c>
      <c r="KJ279" s="168">
        <v>111377786</v>
      </c>
      <c r="KK279" s="21"/>
      <c r="KL279" s="21"/>
      <c r="KM279" s="21"/>
      <c r="KN279" s="21"/>
      <c r="KO279" s="21"/>
      <c r="KP279" s="21"/>
      <c r="KQ279" s="168">
        <v>1157881</v>
      </c>
      <c r="KR279" s="168">
        <v>931464</v>
      </c>
      <c r="KS279" s="21"/>
      <c r="KT279" s="21"/>
      <c r="KU279" s="168">
        <v>9233763</v>
      </c>
      <c r="KV279" s="168">
        <v>7538421</v>
      </c>
      <c r="KW279" s="21"/>
      <c r="KX279" s="21"/>
      <c r="KY279" s="168">
        <v>242685</v>
      </c>
      <c r="KZ279" s="168">
        <v>235082</v>
      </c>
      <c r="LA279" s="168">
        <v>4856415</v>
      </c>
      <c r="LB279" s="168">
        <v>4856415</v>
      </c>
      <c r="LC279" s="21"/>
      <c r="LD279" s="21"/>
      <c r="LE279" s="168">
        <v>16940</v>
      </c>
      <c r="LF279" s="168">
        <v>15307</v>
      </c>
      <c r="LG279" s="21"/>
      <c r="LH279" s="21"/>
      <c r="LI279" s="168">
        <v>4240966</v>
      </c>
      <c r="LJ279" s="168">
        <v>4675966</v>
      </c>
      <c r="LK279" s="168">
        <v>9116275</v>
      </c>
      <c r="LL279" s="168">
        <v>9155252</v>
      </c>
      <c r="LM279" s="21"/>
      <c r="LN279" s="21"/>
      <c r="LO279" s="21"/>
      <c r="LP279" s="21"/>
      <c r="LQ279" s="21"/>
      <c r="LR279" s="21"/>
      <c r="LS279" s="21"/>
      <c r="LT279" s="21"/>
      <c r="LU279" s="21"/>
      <c r="LV279" s="21"/>
      <c r="LW279" s="21"/>
      <c r="LX279" s="21"/>
      <c r="LY279" s="21"/>
      <c r="LZ279" s="21"/>
      <c r="MA279" s="168">
        <v>36388313</v>
      </c>
      <c r="MB279" s="168">
        <v>37437179</v>
      </c>
      <c r="MC279" s="168">
        <v>997388</v>
      </c>
      <c r="MD279" s="168">
        <v>1087276</v>
      </c>
      <c r="ME279" s="21"/>
      <c r="MF279" s="21"/>
      <c r="MG279" s="168">
        <v>1175097</v>
      </c>
      <c r="MH279" s="168">
        <v>1101213</v>
      </c>
      <c r="MI279" s="168">
        <v>2181751</v>
      </c>
      <c r="MJ279" s="168">
        <v>2181751</v>
      </c>
      <c r="MK279" s="21"/>
      <c r="ML279" s="21"/>
      <c r="MM279" s="168">
        <v>444393</v>
      </c>
      <c r="MN279" s="168">
        <v>321313</v>
      </c>
      <c r="MO279" s="168">
        <v>100980</v>
      </c>
      <c r="MP279" s="168">
        <v>786528</v>
      </c>
      <c r="MQ279" s="168">
        <v>47502</v>
      </c>
      <c r="MR279" s="168">
        <v>63470</v>
      </c>
      <c r="MS279" s="21"/>
      <c r="MT279" s="21"/>
      <c r="MU279" s="21"/>
      <c r="MV279" s="21"/>
      <c r="MW279" s="168">
        <v>485642</v>
      </c>
      <c r="MX279" s="168">
        <v>482348</v>
      </c>
      <c r="MY279" s="168">
        <v>31214</v>
      </c>
      <c r="MZ279" s="168">
        <v>31214</v>
      </c>
      <c r="NA279" s="21"/>
      <c r="NB279" s="21"/>
      <c r="NC279" s="168">
        <v>2988219</v>
      </c>
      <c r="ND279" s="168">
        <v>2583708</v>
      </c>
      <c r="NE279" s="21"/>
      <c r="NF279" s="21"/>
      <c r="NG279" s="168">
        <v>25119028</v>
      </c>
      <c r="NH279" s="168">
        <v>22336297</v>
      </c>
      <c r="NI279" s="21"/>
      <c r="NJ279" s="21"/>
      <c r="NK279" s="168">
        <v>333917</v>
      </c>
      <c r="NL279" s="168">
        <v>351090</v>
      </c>
      <c r="NM279" s="168">
        <v>52587901</v>
      </c>
      <c r="NN279" s="168">
        <v>53843532</v>
      </c>
      <c r="NO279" s="168">
        <v>79364425</v>
      </c>
      <c r="NP279" s="168">
        <v>78482130</v>
      </c>
      <c r="NQ279" s="168" t="s">
        <v>881</v>
      </c>
      <c r="NR279" s="168" t="s">
        <v>769</v>
      </c>
      <c r="NS279" s="168" t="s">
        <v>770</v>
      </c>
      <c r="NT279" s="168" t="s">
        <v>771</v>
      </c>
      <c r="NU279" s="168">
        <v>6403</v>
      </c>
      <c r="NV279" s="168" t="s">
        <v>2104</v>
      </c>
      <c r="NW279" s="168" t="s">
        <v>28</v>
      </c>
      <c r="NX279" s="168" t="s">
        <v>25</v>
      </c>
      <c r="NY279" s="169">
        <v>42766</v>
      </c>
      <c r="NZ279" s="169">
        <v>42400</v>
      </c>
      <c r="OA279" s="169">
        <v>43056</v>
      </c>
      <c r="OB279" s="168" t="s">
        <v>1464</v>
      </c>
      <c r="OC279" s="168">
        <v>12</v>
      </c>
      <c r="OD279" s="168" t="s">
        <v>2105</v>
      </c>
      <c r="OE279" s="168" t="s">
        <v>2438</v>
      </c>
      <c r="OF279" s="168" t="s">
        <v>2561</v>
      </c>
      <c r="OG279" s="168" t="s">
        <v>2033</v>
      </c>
      <c r="OH279" s="168" t="s">
        <v>831</v>
      </c>
      <c r="OI279" s="168" t="s">
        <v>766</v>
      </c>
      <c r="OJ279" s="168" t="s">
        <v>3240</v>
      </c>
      <c r="OK279" s="168" t="s">
        <v>767</v>
      </c>
    </row>
    <row r="280" spans="1:401" x14ac:dyDescent="0.2">
      <c r="A280" s="170" t="str">
        <f>Liste[[#This Row],[Siren]]</f>
        <v>450116421</v>
      </c>
      <c r="B280" s="198" t="str">
        <f>Liste[[#This Row],[Dénomination]]&amp;" - comptes "&amp;YEAR(Liste[[#This Row],[Date de cloture de l''exercice]])</f>
        <v>MARETON (SAS) - comptes 2017</v>
      </c>
      <c r="C280" s="21"/>
      <c r="D280" s="21"/>
      <c r="E280" s="21"/>
      <c r="F280" s="168">
        <v>979127</v>
      </c>
      <c r="G280" s="168">
        <v>1021158</v>
      </c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168">
        <v>328115</v>
      </c>
      <c r="BE280" s="168">
        <v>360761</v>
      </c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168">
        <v>2106452</v>
      </c>
      <c r="BY280" s="168">
        <v>1463135</v>
      </c>
      <c r="BZ280" s="21"/>
      <c r="CA280" s="21"/>
      <c r="CB280" s="21"/>
      <c r="CC280" s="21"/>
      <c r="CD280" s="21"/>
      <c r="CE280" s="168">
        <v>6101677</v>
      </c>
      <c r="CF280" s="168">
        <v>104824</v>
      </c>
      <c r="CG280" s="21"/>
      <c r="CH280" s="21"/>
      <c r="CI280" s="21"/>
      <c r="CJ280" s="21"/>
      <c r="CK280" s="21"/>
      <c r="CL280" s="21"/>
      <c r="CM280" s="21"/>
      <c r="CN280" s="21"/>
      <c r="CO280" s="21"/>
      <c r="CP280" s="21"/>
      <c r="CQ280" s="21"/>
      <c r="CR280" s="21"/>
      <c r="CS280" s="21"/>
      <c r="CT280" s="21"/>
      <c r="CU280" s="21"/>
      <c r="CV280" s="21"/>
      <c r="CW280" s="21"/>
      <c r="CX280" s="21"/>
      <c r="CY280" s="21"/>
      <c r="CZ280" s="21"/>
      <c r="DA280" s="21"/>
      <c r="DB280" s="21"/>
      <c r="DC280" s="21"/>
      <c r="DD280" s="21"/>
      <c r="DE280" s="21"/>
      <c r="DF280" s="21"/>
      <c r="DG280" s="21"/>
      <c r="DH280" s="21"/>
      <c r="DI280" s="21"/>
      <c r="DJ280" s="21"/>
      <c r="DK280" s="21"/>
      <c r="DL280" s="21"/>
      <c r="DM280" s="21"/>
      <c r="DN280" s="21"/>
      <c r="DO280" s="21"/>
      <c r="DP280" s="21"/>
      <c r="DQ280" s="21"/>
      <c r="DR280" s="21"/>
      <c r="DS280" s="21"/>
      <c r="DT280" s="21"/>
      <c r="DU280" s="21"/>
      <c r="DV280" s="21"/>
      <c r="DW280" s="21"/>
      <c r="DX280" s="21"/>
      <c r="DY280" s="21"/>
      <c r="DZ280" s="21"/>
      <c r="EA280" s="21"/>
      <c r="EB280" s="21"/>
      <c r="EC280" s="21"/>
      <c r="ED280" s="21"/>
      <c r="EE280" s="21"/>
      <c r="EF280" s="21"/>
      <c r="EG280" s="21"/>
      <c r="EH280" s="21"/>
      <c r="EI280" s="21"/>
      <c r="EJ280" s="21"/>
      <c r="EK280" s="21"/>
      <c r="EL280" s="168">
        <v>6814312</v>
      </c>
      <c r="EM280" s="168">
        <v>11732099</v>
      </c>
      <c r="EN280" s="21"/>
      <c r="EO280" s="21"/>
      <c r="EP280" s="168">
        <v>8370136</v>
      </c>
      <c r="EQ280" s="168">
        <v>7293495</v>
      </c>
      <c r="ER280" s="21"/>
      <c r="ES280" s="21"/>
      <c r="ET280" s="168">
        <v>20387253</v>
      </c>
      <c r="EU280" s="168">
        <v>19198442</v>
      </c>
      <c r="EV280" s="21"/>
      <c r="EW280" s="21"/>
      <c r="EX280" s="21"/>
      <c r="EY280" s="21"/>
      <c r="EZ280" s="21"/>
      <c r="FA280" s="21"/>
      <c r="FB280" s="21"/>
      <c r="FC280" s="21"/>
      <c r="FD280" s="21"/>
      <c r="FE280" s="21"/>
      <c r="FF280" s="168">
        <v>700000</v>
      </c>
      <c r="FG280" s="168">
        <v>400000</v>
      </c>
      <c r="FH280" s="21"/>
      <c r="FI280" s="168">
        <v>-98000</v>
      </c>
      <c r="FJ280" s="168">
        <v>4997</v>
      </c>
      <c r="FK280" s="21"/>
      <c r="FL280" s="21"/>
      <c r="FM280" s="21"/>
      <c r="FN280" s="21"/>
      <c r="FO280" s="21"/>
      <c r="FP280" s="21"/>
      <c r="FQ280" s="168">
        <v>39308</v>
      </c>
      <c r="FR280" s="168">
        <v>39308</v>
      </c>
      <c r="FS280" s="21"/>
      <c r="FT280" s="21"/>
      <c r="FU280" s="21"/>
      <c r="FV280" s="21"/>
      <c r="FW280" s="21"/>
      <c r="FX280" s="21"/>
      <c r="FY280" s="168">
        <v>6733</v>
      </c>
      <c r="FZ280" s="168">
        <v>6025</v>
      </c>
      <c r="GA280" s="21"/>
      <c r="GB280" s="21"/>
      <c r="GC280" s="21"/>
      <c r="GD280" s="21"/>
      <c r="GE280" s="21"/>
      <c r="GF280" s="21"/>
      <c r="GG280" s="21"/>
      <c r="GH280" s="21"/>
      <c r="GI280" s="21"/>
      <c r="GJ280" s="21"/>
      <c r="GK280" s="21"/>
      <c r="GL280" s="21"/>
      <c r="GM280" s="168">
        <v>1774675</v>
      </c>
      <c r="GN280" s="168">
        <v>1574278</v>
      </c>
      <c r="GO280" s="168">
        <v>1781408</v>
      </c>
      <c r="GP280" s="168">
        <v>1580303</v>
      </c>
      <c r="GQ280" s="21"/>
      <c r="GR280" s="21"/>
      <c r="GS280" s="21"/>
      <c r="GT280" s="21"/>
      <c r="GU280" s="168">
        <v>98000</v>
      </c>
      <c r="GV280" s="168">
        <v>92083</v>
      </c>
      <c r="GW280" s="21"/>
      <c r="GX280" s="168">
        <v>97080</v>
      </c>
      <c r="GY280" s="21"/>
      <c r="GZ280" s="21"/>
      <c r="HA280" s="21"/>
      <c r="HB280" s="21"/>
      <c r="HC280" s="168">
        <v>1817258</v>
      </c>
      <c r="HD280" s="168">
        <v>2409162</v>
      </c>
      <c r="HE280" s="21"/>
      <c r="HF280" s="21"/>
      <c r="HG280" s="21"/>
      <c r="HH280" s="21"/>
      <c r="HI280" s="168">
        <v>142619</v>
      </c>
      <c r="HJ280" s="168">
        <v>229583</v>
      </c>
      <c r="HK280" s="168">
        <v>124257</v>
      </c>
      <c r="HL280" s="168">
        <v>70144</v>
      </c>
      <c r="HM280" s="21"/>
      <c r="HN280" s="21"/>
      <c r="HO280" s="168">
        <v>5884901</v>
      </c>
      <c r="HP280" s="168">
        <v>5472043</v>
      </c>
      <c r="HQ280" s="21"/>
      <c r="HR280" s="21"/>
      <c r="HS280" s="21"/>
      <c r="HT280" s="21"/>
      <c r="HU280" s="168">
        <v>545980</v>
      </c>
      <c r="HV280" s="168">
        <v>497124</v>
      </c>
      <c r="HW280" s="21"/>
      <c r="HX280" s="21"/>
      <c r="HY280" s="168">
        <v>140300</v>
      </c>
      <c r="HZ280" s="168">
        <v>140000</v>
      </c>
      <c r="IA280" s="21"/>
      <c r="IB280" s="21"/>
      <c r="IC280" s="21"/>
      <c r="ID280" s="21"/>
      <c r="IE280" s="168">
        <v>889261</v>
      </c>
      <c r="IF280" s="168">
        <v>888278</v>
      </c>
      <c r="IG280" s="21"/>
      <c r="IH280" s="21"/>
      <c r="II280" s="168">
        <v>5094</v>
      </c>
      <c r="IJ280" s="21"/>
      <c r="IK280" s="21"/>
      <c r="IL280" s="21"/>
      <c r="IM280" s="21"/>
      <c r="IN280" s="21"/>
      <c r="IO280" s="21"/>
      <c r="IP280" s="21"/>
      <c r="IQ280" s="21"/>
      <c r="IR280" s="21"/>
      <c r="IS280" s="21"/>
      <c r="IT280" s="21"/>
      <c r="IU280" s="168">
        <v>2666120</v>
      </c>
      <c r="IV280" s="168">
        <v>2236755</v>
      </c>
      <c r="IW280" s="168">
        <v>2600492</v>
      </c>
      <c r="IX280" s="168">
        <v>2247678</v>
      </c>
      <c r="IY280" s="168">
        <v>-53535</v>
      </c>
      <c r="IZ280" s="168">
        <v>-81067</v>
      </c>
      <c r="JA280" s="168">
        <v>550092</v>
      </c>
      <c r="JB280" s="168">
        <v>305637</v>
      </c>
      <c r="JC280" s="21"/>
      <c r="JD280" s="21"/>
      <c r="JE280" s="21"/>
      <c r="JF280" s="21"/>
      <c r="JG280" s="168">
        <v>12336</v>
      </c>
      <c r="JH280" s="168">
        <v>21961</v>
      </c>
      <c r="JI280" s="168">
        <v>47883799</v>
      </c>
      <c r="JJ280" s="168">
        <v>47096004</v>
      </c>
      <c r="JK280" s="168">
        <v>65953</v>
      </c>
      <c r="JL280" s="168">
        <v>93417</v>
      </c>
      <c r="JM280" s="168">
        <v>706047</v>
      </c>
      <c r="JN280" s="168">
        <v>557181</v>
      </c>
      <c r="JO280" s="168">
        <v>12418</v>
      </c>
      <c r="JP280" s="168">
        <v>12350</v>
      </c>
      <c r="JQ280" s="21"/>
      <c r="JR280" s="21"/>
      <c r="JS280" s="21"/>
      <c r="JT280" s="21"/>
      <c r="JU280" s="21"/>
      <c r="JV280" s="21"/>
      <c r="JW280" s="168">
        <v>49779244</v>
      </c>
      <c r="JX280" s="168">
        <v>48786501</v>
      </c>
      <c r="JY280" s="21"/>
      <c r="JZ280" s="21"/>
      <c r="KA280" s="21"/>
      <c r="KB280" s="21"/>
      <c r="KC280" s="21"/>
      <c r="KD280" s="21"/>
      <c r="KE280" s="21"/>
      <c r="KF280" s="21"/>
      <c r="KG280" s="21"/>
      <c r="KH280" s="21"/>
      <c r="KI280" s="168">
        <v>49426082</v>
      </c>
      <c r="KJ280" s="168">
        <v>48279175</v>
      </c>
      <c r="KK280" s="21"/>
      <c r="KL280" s="21"/>
      <c r="KM280" s="21"/>
      <c r="KN280" s="21"/>
      <c r="KO280" s="21"/>
      <c r="KP280" s="21"/>
      <c r="KQ280" s="168">
        <v>285792</v>
      </c>
      <c r="KR280" s="168">
        <v>299157</v>
      </c>
      <c r="KS280" s="21"/>
      <c r="KT280" s="21"/>
      <c r="KU280" s="21"/>
      <c r="KV280" s="21"/>
      <c r="KW280" s="21"/>
      <c r="KX280" s="21"/>
      <c r="KY280" s="21"/>
      <c r="KZ280" s="21"/>
      <c r="LA280" s="168">
        <v>40000</v>
      </c>
      <c r="LB280" s="168">
        <v>40000</v>
      </c>
      <c r="LC280" s="21"/>
      <c r="LD280" s="21"/>
      <c r="LE280" s="21"/>
      <c r="LF280" s="21"/>
      <c r="LG280" s="21"/>
      <c r="LH280" s="21"/>
      <c r="LI280" s="168">
        <v>2236853</v>
      </c>
      <c r="LJ280" s="168">
        <v>2314587</v>
      </c>
      <c r="LK280" s="168">
        <v>2864604</v>
      </c>
      <c r="LL280" s="168">
        <v>2620876</v>
      </c>
      <c r="LM280" s="168">
        <v>29953</v>
      </c>
      <c r="LN280" s="168">
        <v>30179</v>
      </c>
      <c r="LO280" s="21"/>
      <c r="LP280" s="21"/>
      <c r="LQ280" s="21"/>
      <c r="LR280" s="21"/>
      <c r="LS280" s="21"/>
      <c r="LT280" s="21"/>
      <c r="LU280" s="21"/>
      <c r="LV280" s="21"/>
      <c r="LW280" s="21"/>
      <c r="LX280" s="21"/>
      <c r="LY280" s="21"/>
      <c r="LZ280" s="21"/>
      <c r="MA280" s="21"/>
      <c r="MB280" s="21"/>
      <c r="MC280" s="168">
        <v>2725408</v>
      </c>
      <c r="MD280" s="168">
        <v>3437713</v>
      </c>
      <c r="ME280" s="21"/>
      <c r="MF280" s="21"/>
      <c r="MG280" s="21"/>
      <c r="MH280" s="21"/>
      <c r="MI280" s="168">
        <v>13220</v>
      </c>
      <c r="MJ280" s="168">
        <v>13220</v>
      </c>
      <c r="MK280" s="21"/>
      <c r="ML280" s="21"/>
      <c r="MM280" s="21"/>
      <c r="MN280" s="21"/>
      <c r="MO280" s="21"/>
      <c r="MP280" s="21"/>
      <c r="MQ280" s="21"/>
      <c r="MR280" s="21"/>
      <c r="MS280" s="21"/>
      <c r="MT280" s="168">
        <v>-1</v>
      </c>
      <c r="MU280" s="21"/>
      <c r="MV280" s="21"/>
      <c r="MW280" s="21"/>
      <c r="MX280" s="21"/>
      <c r="MY280" s="21"/>
      <c r="MZ280" s="21"/>
      <c r="NA280" s="21"/>
      <c r="NB280" s="21"/>
      <c r="NC280" s="168">
        <v>1774675</v>
      </c>
      <c r="ND280" s="168">
        <v>1574278</v>
      </c>
      <c r="NE280" s="21"/>
      <c r="NF280" s="21"/>
      <c r="NG280" s="168">
        <v>11303697</v>
      </c>
      <c r="NH280" s="168">
        <v>9587799</v>
      </c>
      <c r="NI280" s="21"/>
      <c r="NJ280" s="21"/>
      <c r="NK280" s="168">
        <v>27272</v>
      </c>
      <c r="NL280" s="168">
        <v>20759</v>
      </c>
      <c r="NM280" s="168">
        <v>8142610</v>
      </c>
      <c r="NN280" s="168">
        <v>8702512</v>
      </c>
      <c r="NO280" s="168">
        <v>20387253</v>
      </c>
      <c r="NP280" s="168">
        <v>19198442</v>
      </c>
      <c r="NQ280" s="168" t="s">
        <v>997</v>
      </c>
      <c r="NR280" s="168" t="s">
        <v>769</v>
      </c>
      <c r="NS280" s="168" t="s">
        <v>770</v>
      </c>
      <c r="NT280" s="168" t="s">
        <v>771</v>
      </c>
      <c r="NU280" s="168">
        <v>4701</v>
      </c>
      <c r="NV280" s="168" t="s">
        <v>2104</v>
      </c>
      <c r="NW280" s="168" t="s">
        <v>28</v>
      </c>
      <c r="NX280" s="168" t="s">
        <v>25</v>
      </c>
      <c r="NY280" s="169">
        <v>42766</v>
      </c>
      <c r="NZ280" s="169">
        <v>42400</v>
      </c>
      <c r="OA280" s="169">
        <v>43063</v>
      </c>
      <c r="OB280" s="168" t="s">
        <v>1455</v>
      </c>
      <c r="OC280" s="168">
        <v>12</v>
      </c>
      <c r="OD280" s="168" t="s">
        <v>2105</v>
      </c>
      <c r="OE280" s="168" t="s">
        <v>2198</v>
      </c>
      <c r="OF280" s="168" t="s">
        <v>2554</v>
      </c>
      <c r="OG280" s="168" t="s">
        <v>2027</v>
      </c>
      <c r="OH280" s="168" t="s">
        <v>784</v>
      </c>
      <c r="OI280" s="168" t="s">
        <v>766</v>
      </c>
      <c r="OJ280" s="168" t="s">
        <v>3240</v>
      </c>
      <c r="OK280" s="168" t="s">
        <v>767</v>
      </c>
    </row>
    <row r="281" spans="1:401" x14ac:dyDescent="0.2">
      <c r="A281" s="170" t="str">
        <f>Liste[[#This Row],[Siren]]</f>
        <v>452995079</v>
      </c>
      <c r="B281" s="198" t="str">
        <f>Liste[[#This Row],[Dénomination]]&amp;" - comptes "&amp;YEAR(Liste[[#This Row],[Date de cloture de l''exercice]])</f>
        <v>SOFIPA - comptes 2017</v>
      </c>
      <c r="C281" s="21"/>
      <c r="D281" s="21"/>
      <c r="E281" s="21"/>
      <c r="F281" s="168">
        <v>257000</v>
      </c>
      <c r="G281" s="168">
        <v>251000</v>
      </c>
      <c r="H281" s="168">
        <v>257000</v>
      </c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168">
        <v>52000</v>
      </c>
      <c r="BA281" s="168">
        <v>46000</v>
      </c>
      <c r="BB281" s="168">
        <v>52000</v>
      </c>
      <c r="BC281" s="21"/>
      <c r="BD281" s="168">
        <v>272000</v>
      </c>
      <c r="BE281" s="168">
        <v>270000</v>
      </c>
      <c r="BF281" s="168">
        <v>272000</v>
      </c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168">
        <v>1630000</v>
      </c>
      <c r="BY281" s="168">
        <v>1351000</v>
      </c>
      <c r="BZ281" s="168">
        <v>1630000</v>
      </c>
      <c r="CA281" s="21"/>
      <c r="CB281" s="21"/>
      <c r="CC281" s="21"/>
      <c r="CD281" s="21"/>
      <c r="CE281" s="168">
        <v>1790000</v>
      </c>
      <c r="CF281" s="168">
        <v>1968000</v>
      </c>
      <c r="CG281" s="168">
        <v>1790000</v>
      </c>
      <c r="CH281" s="21"/>
      <c r="CI281" s="21"/>
      <c r="CJ281" s="21"/>
      <c r="CK281" s="21"/>
      <c r="CL281" s="21"/>
      <c r="CM281" s="21"/>
      <c r="CN281" s="21"/>
      <c r="CO281" s="21"/>
      <c r="CP281" s="21"/>
      <c r="CQ281" s="21"/>
      <c r="CR281" s="21"/>
      <c r="CS281" s="21"/>
      <c r="CT281" s="21"/>
      <c r="CU281" s="21"/>
      <c r="CV281" s="21"/>
      <c r="CW281" s="21"/>
      <c r="CX281" s="21"/>
      <c r="CY281" s="21"/>
      <c r="CZ281" s="21"/>
      <c r="DA281" s="21"/>
      <c r="DB281" s="21"/>
      <c r="DC281" s="21"/>
      <c r="DD281" s="21"/>
      <c r="DE281" s="21"/>
      <c r="DF281" s="21"/>
      <c r="DG281" s="21"/>
      <c r="DH281" s="21"/>
      <c r="DI281" s="21"/>
      <c r="DJ281" s="21"/>
      <c r="DK281" s="21"/>
      <c r="DL281" s="21"/>
      <c r="DM281" s="21"/>
      <c r="DN281" s="21"/>
      <c r="DO281" s="21"/>
      <c r="DP281" s="21"/>
      <c r="DQ281" s="21"/>
      <c r="DR281" s="21"/>
      <c r="DS281" s="21"/>
      <c r="DT281" s="21"/>
      <c r="DU281" s="21"/>
      <c r="DV281" s="21"/>
      <c r="DW281" s="21"/>
      <c r="DX281" s="21"/>
      <c r="DY281" s="21"/>
      <c r="DZ281" s="21"/>
      <c r="EA281" s="21"/>
      <c r="EB281" s="21"/>
      <c r="EC281" s="21"/>
      <c r="ED281" s="21"/>
      <c r="EE281" s="21"/>
      <c r="EF281" s="21"/>
      <c r="EG281" s="21"/>
      <c r="EH281" s="21"/>
      <c r="EI281" s="21"/>
      <c r="EJ281" s="21"/>
      <c r="EK281" s="21"/>
      <c r="EL281" s="168">
        <v>5850000</v>
      </c>
      <c r="EM281" s="168">
        <v>6402000</v>
      </c>
      <c r="EN281" s="168">
        <v>5850000</v>
      </c>
      <c r="EO281" s="21"/>
      <c r="EP281" s="168">
        <v>5556000</v>
      </c>
      <c r="EQ281" s="168">
        <v>5331000</v>
      </c>
      <c r="ER281" s="168">
        <v>5556000</v>
      </c>
      <c r="ES281" s="21"/>
      <c r="ET281" s="168">
        <v>11406000</v>
      </c>
      <c r="EU281" s="168">
        <v>11733000</v>
      </c>
      <c r="EV281" s="168">
        <v>11406000</v>
      </c>
      <c r="EW281" s="21"/>
      <c r="EX281" s="21"/>
      <c r="EY281" s="21"/>
      <c r="EZ281" s="21"/>
      <c r="FA281" s="21"/>
      <c r="FB281" s="21"/>
      <c r="FC281" s="21"/>
      <c r="FD281" s="21"/>
      <c r="FE281" s="21"/>
      <c r="FF281" s="168">
        <v>1610000</v>
      </c>
      <c r="FG281" s="168">
        <v>1610000</v>
      </c>
      <c r="FH281" s="168">
        <v>1610000</v>
      </c>
      <c r="FI281" s="168">
        <v>112000</v>
      </c>
      <c r="FJ281" s="168">
        <v>18000</v>
      </c>
      <c r="FK281" s="21"/>
      <c r="FL281" s="21"/>
      <c r="FM281" s="21"/>
      <c r="FN281" s="21"/>
      <c r="FO281" s="21"/>
      <c r="FP281" s="21"/>
      <c r="FQ281" s="168">
        <v>-178000</v>
      </c>
      <c r="FR281" s="168">
        <v>-178000</v>
      </c>
      <c r="FS281" s="21"/>
      <c r="FT281" s="21"/>
      <c r="FU281" s="21"/>
      <c r="FV281" s="21"/>
      <c r="FW281" s="168">
        <v>-122000</v>
      </c>
      <c r="FX281" s="168">
        <v>-161000</v>
      </c>
      <c r="FY281" s="21"/>
      <c r="FZ281" s="21"/>
      <c r="GA281" s="21"/>
      <c r="GB281" s="21"/>
      <c r="GC281" s="21"/>
      <c r="GD281" s="21"/>
      <c r="GE281" s="21"/>
      <c r="GF281" s="21"/>
      <c r="GG281" s="21"/>
      <c r="GH281" s="21"/>
      <c r="GI281" s="21"/>
      <c r="GJ281" s="21"/>
      <c r="GK281" s="21"/>
      <c r="GL281" s="21"/>
      <c r="GM281" s="168">
        <v>527000</v>
      </c>
      <c r="GN281" s="168">
        <v>507000</v>
      </c>
      <c r="GO281" s="168">
        <v>712000</v>
      </c>
      <c r="GP281" s="168">
        <v>691000</v>
      </c>
      <c r="GQ281" s="21"/>
      <c r="GR281" s="21"/>
      <c r="GS281" s="168">
        <v>527000</v>
      </c>
      <c r="GT281" s="168">
        <v>507000</v>
      </c>
      <c r="GU281" s="168">
        <v>-3000</v>
      </c>
      <c r="GV281" s="168">
        <v>-71000</v>
      </c>
      <c r="GW281" s="168">
        <v>115000</v>
      </c>
      <c r="GX281" s="168">
        <v>90000</v>
      </c>
      <c r="GY281" s="21"/>
      <c r="GZ281" s="21"/>
      <c r="HA281" s="21"/>
      <c r="HB281" s="21"/>
      <c r="HC281" s="168">
        <v>-1649000</v>
      </c>
      <c r="HD281" s="168">
        <v>-1687000</v>
      </c>
      <c r="HE281" s="168">
        <v>-30000</v>
      </c>
      <c r="HF281" s="168">
        <v>-21000</v>
      </c>
      <c r="HG281" s="21"/>
      <c r="HH281" s="21"/>
      <c r="HI281" s="168">
        <v>23000</v>
      </c>
      <c r="HJ281" s="168">
        <v>34000</v>
      </c>
      <c r="HK281" s="21"/>
      <c r="HL281" s="21"/>
      <c r="HM281" s="21"/>
      <c r="HN281" s="21"/>
      <c r="HO281" s="21"/>
      <c r="HP281" s="21"/>
      <c r="HQ281" s="21"/>
      <c r="HR281" s="21"/>
      <c r="HS281" s="21"/>
      <c r="HT281" s="21"/>
      <c r="HU281" s="168">
        <v>-564000</v>
      </c>
      <c r="HV281" s="168">
        <v>-593000</v>
      </c>
      <c r="HW281" s="21"/>
      <c r="HX281" s="21"/>
      <c r="HY281" s="21"/>
      <c r="HZ281" s="21"/>
      <c r="IA281" s="21"/>
      <c r="IB281" s="21"/>
      <c r="IC281" s="21"/>
      <c r="ID281" s="21"/>
      <c r="IE281" s="168">
        <v>-564000</v>
      </c>
      <c r="IF281" s="168">
        <v>-593000</v>
      </c>
      <c r="IG281" s="21"/>
      <c r="IH281" s="21"/>
      <c r="II281" s="21"/>
      <c r="IJ281" s="21"/>
      <c r="IK281" s="21"/>
      <c r="IL281" s="21"/>
      <c r="IM281" s="21"/>
      <c r="IN281" s="21"/>
      <c r="IO281" s="21"/>
      <c r="IP281" s="21"/>
      <c r="IQ281" s="21"/>
      <c r="IR281" s="21"/>
      <c r="IS281" s="21"/>
      <c r="IT281" s="21"/>
      <c r="IU281" s="168">
        <v>722000</v>
      </c>
      <c r="IV281" s="168">
        <v>834000</v>
      </c>
      <c r="IW281" s="168">
        <v>793000</v>
      </c>
      <c r="IX281" s="168">
        <v>937000</v>
      </c>
      <c r="IY281" s="168">
        <v>-71000</v>
      </c>
      <c r="IZ281" s="168">
        <v>-103000</v>
      </c>
      <c r="JA281" s="168">
        <v>26000</v>
      </c>
      <c r="JB281" s="168">
        <v>47000</v>
      </c>
      <c r="JC281" s="21"/>
      <c r="JD281" s="21"/>
      <c r="JE281" s="21"/>
      <c r="JF281" s="21"/>
      <c r="JG281" s="21"/>
      <c r="JH281" s="21"/>
      <c r="JI281" s="21"/>
      <c r="JJ281" s="21"/>
      <c r="JK281" s="168">
        <v>-125000</v>
      </c>
      <c r="JL281" s="168">
        <v>147000</v>
      </c>
      <c r="JM281" s="21"/>
      <c r="JN281" s="21"/>
      <c r="JO281" s="168">
        <v>54000</v>
      </c>
      <c r="JP281" s="168">
        <v>44000</v>
      </c>
      <c r="JQ281" s="21"/>
      <c r="JR281" s="21"/>
      <c r="JS281" s="21"/>
      <c r="JT281" s="21"/>
      <c r="JU281" s="21"/>
      <c r="JV281" s="21"/>
      <c r="JW281" s="168">
        <v>32266000</v>
      </c>
      <c r="JX281" s="168">
        <v>31955000</v>
      </c>
      <c r="JY281" s="21"/>
      <c r="JZ281" s="21"/>
      <c r="KA281" s="21"/>
      <c r="KB281" s="21"/>
      <c r="KC281" s="21"/>
      <c r="KD281" s="21"/>
      <c r="KE281" s="21"/>
      <c r="KF281" s="21"/>
      <c r="KG281" s="21"/>
      <c r="KH281" s="21"/>
      <c r="KI281" s="21"/>
      <c r="KJ281" s="21"/>
      <c r="KK281" s="21"/>
      <c r="KL281" s="21"/>
      <c r="KM281" s="21"/>
      <c r="KN281" s="21"/>
      <c r="KO281" s="21"/>
      <c r="KP281" s="21"/>
      <c r="KQ281" s="168">
        <v>17000</v>
      </c>
      <c r="KR281" s="168">
        <v>17000</v>
      </c>
      <c r="KS281" s="21"/>
      <c r="KT281" s="21"/>
      <c r="KU281" s="21"/>
      <c r="KV281" s="21"/>
      <c r="KW281" s="21"/>
      <c r="KX281" s="21"/>
      <c r="KY281" s="21"/>
      <c r="KZ281" s="21"/>
      <c r="LA281" s="168">
        <v>1077000</v>
      </c>
      <c r="LB281" s="168">
        <v>1077000</v>
      </c>
      <c r="LC281" s="21"/>
      <c r="LD281" s="21"/>
      <c r="LE281" s="21"/>
      <c r="LF281" s="21"/>
      <c r="LG281" s="21"/>
      <c r="LH281" s="21"/>
      <c r="LI281" s="168">
        <v>619000</v>
      </c>
      <c r="LJ281" s="168">
        <v>755000</v>
      </c>
      <c r="LK281" s="168">
        <v>1964000</v>
      </c>
      <c r="LL281" s="168">
        <v>2066000</v>
      </c>
      <c r="LM281" s="21"/>
      <c r="LN281" s="21"/>
      <c r="LO281" s="21"/>
      <c r="LP281" s="21"/>
      <c r="LQ281" s="21"/>
      <c r="LR281" s="21"/>
      <c r="LS281" s="21"/>
      <c r="LT281" s="21"/>
      <c r="LU281" s="21"/>
      <c r="LV281" s="21"/>
      <c r="LW281" s="21"/>
      <c r="LX281" s="21"/>
      <c r="LY281" s="21"/>
      <c r="LZ281" s="21"/>
      <c r="MA281" s="21"/>
      <c r="MB281" s="21"/>
      <c r="MC281" s="168">
        <v>2518000</v>
      </c>
      <c r="MD281" s="168">
        <v>3152000</v>
      </c>
      <c r="ME281" s="21"/>
      <c r="MF281" s="21"/>
      <c r="MG281" s="21"/>
      <c r="MH281" s="21"/>
      <c r="MI281" s="21"/>
      <c r="MJ281" s="21"/>
      <c r="MK281" s="21"/>
      <c r="ML281" s="21"/>
      <c r="MM281" s="21"/>
      <c r="MN281" s="21"/>
      <c r="MO281" s="21"/>
      <c r="MP281" s="21"/>
      <c r="MQ281" s="21"/>
      <c r="MR281" s="21"/>
      <c r="MS281" s="21"/>
      <c r="MT281" s="21"/>
      <c r="MU281" s="21"/>
      <c r="MV281" s="21"/>
      <c r="MW281" s="21"/>
      <c r="MX281" s="21"/>
      <c r="MY281" s="21"/>
      <c r="MZ281" s="21"/>
      <c r="NA281" s="21"/>
      <c r="NB281" s="21"/>
      <c r="NC281" s="168">
        <v>527000</v>
      </c>
      <c r="ND281" s="168">
        <v>507000</v>
      </c>
      <c r="NE281" s="21"/>
      <c r="NF281" s="21"/>
      <c r="NG281" s="168">
        <v>6128000</v>
      </c>
      <c r="NH281" s="168">
        <v>5601000</v>
      </c>
      <c r="NI281" s="21"/>
      <c r="NJ281" s="21"/>
      <c r="NK281" s="21"/>
      <c r="NL281" s="21"/>
      <c r="NM281" s="168">
        <v>5118000</v>
      </c>
      <c r="NN281" s="168">
        <v>5990000</v>
      </c>
      <c r="NO281" s="168">
        <v>11406000</v>
      </c>
      <c r="NP281" s="168">
        <v>11733000</v>
      </c>
      <c r="NQ281" s="168" t="s">
        <v>1323</v>
      </c>
      <c r="NR281" s="168" t="s">
        <v>797</v>
      </c>
      <c r="NS281" s="168" t="s">
        <v>770</v>
      </c>
      <c r="NT281" s="168" t="s">
        <v>771</v>
      </c>
      <c r="NU281" s="168">
        <v>2202</v>
      </c>
      <c r="NV281" s="168" t="s">
        <v>2104</v>
      </c>
      <c r="NW281" s="168" t="s">
        <v>28</v>
      </c>
      <c r="NX281" s="168" t="s">
        <v>25</v>
      </c>
      <c r="NY281" s="169">
        <v>42766</v>
      </c>
      <c r="NZ281" s="169">
        <v>42400</v>
      </c>
      <c r="OA281" s="169">
        <v>42971</v>
      </c>
      <c r="OB281" s="168" t="s">
        <v>1324</v>
      </c>
      <c r="OC281" s="168">
        <v>12</v>
      </c>
      <c r="OD281" s="168" t="s">
        <v>2105</v>
      </c>
      <c r="OE281" s="168" t="s">
        <v>2293</v>
      </c>
      <c r="OF281" s="168" t="s">
        <v>2462</v>
      </c>
      <c r="OG281" s="168" t="s">
        <v>1969</v>
      </c>
      <c r="OH281" s="168" t="s">
        <v>1043</v>
      </c>
      <c r="OI281" s="168" t="s">
        <v>766</v>
      </c>
      <c r="OJ281" s="168" t="s">
        <v>3240</v>
      </c>
      <c r="OK281" s="168" t="s">
        <v>796</v>
      </c>
    </row>
    <row r="282" spans="1:401" x14ac:dyDescent="0.2">
      <c r="A282" s="170" t="str">
        <f>Liste[[#This Row],[Siren]]</f>
        <v>799851530</v>
      </c>
      <c r="B282" s="198" t="str">
        <f>Liste[[#This Row],[Dénomination]]&amp;" - comptes "&amp;YEAR(Liste[[#This Row],[Date de cloture de l''exercice]])</f>
        <v>ARLESDIS II - comptes 2017</v>
      </c>
      <c r="C282" s="21"/>
      <c r="D282" s="21"/>
      <c r="E282" s="21"/>
      <c r="F282" s="168">
        <v>3432471</v>
      </c>
      <c r="G282" s="168">
        <v>3685124</v>
      </c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168">
        <v>729030</v>
      </c>
      <c r="BE282" s="168">
        <v>621871</v>
      </c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168">
        <v>851501</v>
      </c>
      <c r="BY282" s="168">
        <v>1097246</v>
      </c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  <c r="CJ282" s="21"/>
      <c r="CK282" s="21"/>
      <c r="CL282" s="21"/>
      <c r="CM282" s="21"/>
      <c r="CN282" s="21"/>
      <c r="CO282" s="21"/>
      <c r="CP282" s="21"/>
      <c r="CQ282" s="21"/>
      <c r="CR282" s="21"/>
      <c r="CS282" s="21"/>
      <c r="CT282" s="21"/>
      <c r="CU282" s="21"/>
      <c r="CV282" s="21"/>
      <c r="CW282" s="21"/>
      <c r="CX282" s="21"/>
      <c r="CY282" s="21"/>
      <c r="CZ282" s="21"/>
      <c r="DA282" s="21"/>
      <c r="DB282" s="21"/>
      <c r="DC282" s="21"/>
      <c r="DD282" s="21"/>
      <c r="DE282" s="21"/>
      <c r="DF282" s="21"/>
      <c r="DG282" s="21"/>
      <c r="DH282" s="21"/>
      <c r="DI282" s="21"/>
      <c r="DJ282" s="21"/>
      <c r="DK282" s="21"/>
      <c r="DL282" s="21"/>
      <c r="DM282" s="21"/>
      <c r="DN282" s="21"/>
      <c r="DO282" s="21"/>
      <c r="DP282" s="21"/>
      <c r="DQ282" s="21"/>
      <c r="DR282" s="21"/>
      <c r="DS282" s="21"/>
      <c r="DT282" s="21"/>
      <c r="DU282" s="21"/>
      <c r="DV282" s="21"/>
      <c r="DW282" s="21"/>
      <c r="DX282" s="21"/>
      <c r="DY282" s="21"/>
      <c r="DZ282" s="21"/>
      <c r="EA282" s="21"/>
      <c r="EB282" s="21"/>
      <c r="EC282" s="21"/>
      <c r="ED282" s="21"/>
      <c r="EE282" s="21"/>
      <c r="EF282" s="21"/>
      <c r="EG282" s="21"/>
      <c r="EH282" s="21"/>
      <c r="EI282" s="21"/>
      <c r="EJ282" s="21"/>
      <c r="EK282" s="21"/>
      <c r="EL282" s="168">
        <v>28424834</v>
      </c>
      <c r="EM282" s="168">
        <v>29708524</v>
      </c>
      <c r="EN282" s="21"/>
      <c r="EO282" s="21"/>
      <c r="EP282" s="168">
        <v>8958707</v>
      </c>
      <c r="EQ282" s="168">
        <v>9385836</v>
      </c>
      <c r="ER282" s="21"/>
      <c r="ES282" s="21"/>
      <c r="ET282" s="168">
        <v>37383541</v>
      </c>
      <c r="EU282" s="168">
        <v>39094360</v>
      </c>
      <c r="EV282" s="21"/>
      <c r="EW282" s="21"/>
      <c r="EX282" s="21"/>
      <c r="EY282" s="21"/>
      <c r="EZ282" s="21"/>
      <c r="FA282" s="21"/>
      <c r="FB282" s="21"/>
      <c r="FC282" s="21"/>
      <c r="FD282" s="21"/>
      <c r="FE282" s="21"/>
      <c r="FF282" s="21"/>
      <c r="FG282" s="21"/>
      <c r="FH282" s="21"/>
      <c r="FI282" s="168">
        <v>175382</v>
      </c>
      <c r="FJ282" s="168">
        <v>209194</v>
      </c>
      <c r="FK282" s="21"/>
      <c r="FL282" s="21"/>
      <c r="FM282" s="21"/>
      <c r="FN282" s="21"/>
      <c r="FO282" s="21"/>
      <c r="FP282" s="21"/>
      <c r="FQ282" s="21"/>
      <c r="FR282" s="21"/>
      <c r="FS282" s="21"/>
      <c r="FT282" s="21"/>
      <c r="FU282" s="168">
        <v>103757</v>
      </c>
      <c r="FV282" s="168">
        <v>-416861</v>
      </c>
      <c r="FW282" s="21"/>
      <c r="FX282" s="21"/>
      <c r="FY282" s="168">
        <v>3137</v>
      </c>
      <c r="FZ282" s="168">
        <v>-2494</v>
      </c>
      <c r="GA282" s="21"/>
      <c r="GB282" s="21"/>
      <c r="GC282" s="21"/>
      <c r="GD282" s="21"/>
      <c r="GE282" s="21"/>
      <c r="GF282" s="21"/>
      <c r="GG282" s="21"/>
      <c r="GH282" s="21"/>
      <c r="GI282" s="21"/>
      <c r="GJ282" s="21"/>
      <c r="GK282" s="21"/>
      <c r="GL282" s="21"/>
      <c r="GM282" s="168">
        <v>456248</v>
      </c>
      <c r="GN282" s="168">
        <v>-505386</v>
      </c>
      <c r="GO282" s="168">
        <v>456248</v>
      </c>
      <c r="GP282" s="168">
        <v>-398413</v>
      </c>
      <c r="GQ282" s="21"/>
      <c r="GR282" s="21"/>
      <c r="GS282" s="168">
        <v>453111</v>
      </c>
      <c r="GT282" s="168">
        <v>-502892</v>
      </c>
      <c r="GU282" s="21"/>
      <c r="GV282" s="21"/>
      <c r="GW282" s="21"/>
      <c r="GX282" s="21"/>
      <c r="GY282" s="21"/>
      <c r="GZ282" s="21"/>
      <c r="HA282" s="21"/>
      <c r="HB282" s="21"/>
      <c r="HC282" s="21"/>
      <c r="HD282" s="21"/>
      <c r="HE282" s="168">
        <v>2887965</v>
      </c>
      <c r="HF282" s="168">
        <v>2775974</v>
      </c>
      <c r="HG282" s="21"/>
      <c r="HH282" s="21"/>
      <c r="HI282" s="168">
        <v>353770</v>
      </c>
      <c r="HJ282" s="168">
        <v>388962</v>
      </c>
      <c r="HK282" s="21"/>
      <c r="HL282" s="21"/>
      <c r="HM282" s="21"/>
      <c r="HN282" s="21"/>
      <c r="HO282" s="21"/>
      <c r="HP282" s="21"/>
      <c r="HQ282" s="21"/>
      <c r="HR282" s="21"/>
      <c r="HS282" s="21"/>
      <c r="HT282" s="21"/>
      <c r="HU282" s="168">
        <v>1520048</v>
      </c>
      <c r="HV282" s="168">
        <v>1613997</v>
      </c>
      <c r="HW282" s="21"/>
      <c r="HX282" s="21"/>
      <c r="HY282" s="21"/>
      <c r="HZ282" s="21"/>
      <c r="IA282" s="21"/>
      <c r="IB282" s="21"/>
      <c r="IC282" s="21"/>
      <c r="ID282" s="21"/>
      <c r="IE282" s="168">
        <v>747230</v>
      </c>
      <c r="IF282" s="168">
        <v>689969</v>
      </c>
      <c r="IG282" s="21"/>
      <c r="IH282" s="21"/>
      <c r="II282" s="21"/>
      <c r="IJ282" s="21"/>
      <c r="IK282" s="21"/>
      <c r="IL282" s="21"/>
      <c r="IM282" s="21"/>
      <c r="IN282" s="21"/>
      <c r="IO282" s="21"/>
      <c r="IP282" s="21"/>
      <c r="IQ282" s="21"/>
      <c r="IR282" s="21"/>
      <c r="IS282" s="21"/>
      <c r="IT282" s="21"/>
      <c r="IU282" s="168">
        <v>384623</v>
      </c>
      <c r="IV282" s="168">
        <v>-832990</v>
      </c>
      <c r="IW282" s="168">
        <v>1112526</v>
      </c>
      <c r="IX282" s="168">
        <v>58715</v>
      </c>
      <c r="IY282" s="168">
        <v>-727903</v>
      </c>
      <c r="IZ282" s="168">
        <v>-891705</v>
      </c>
      <c r="JA282" s="21"/>
      <c r="JB282" s="21"/>
      <c r="JC282" s="21"/>
      <c r="JD282" s="21"/>
      <c r="JE282" s="168">
        <v>4448427</v>
      </c>
      <c r="JF282" s="168">
        <v>4048592</v>
      </c>
      <c r="JG282" s="21"/>
      <c r="JH282" s="21"/>
      <c r="JI282" s="168">
        <v>51073992</v>
      </c>
      <c r="JJ282" s="168">
        <v>47944623</v>
      </c>
      <c r="JK282" s="21"/>
      <c r="JL282" s="21"/>
      <c r="JM282" s="168">
        <v>52186518</v>
      </c>
      <c r="JN282" s="168">
        <v>48003338</v>
      </c>
      <c r="JO282" s="21"/>
      <c r="JP282" s="21"/>
      <c r="JQ282" s="21"/>
      <c r="JR282" s="21"/>
      <c r="JS282" s="21"/>
      <c r="JT282" s="21"/>
      <c r="JU282" s="21"/>
      <c r="JV282" s="21"/>
      <c r="JW282" s="168">
        <v>51832748</v>
      </c>
      <c r="JX282" s="168">
        <v>47614376</v>
      </c>
      <c r="JY282" s="21"/>
      <c r="JZ282" s="21"/>
      <c r="KA282" s="21"/>
      <c r="KB282" s="21"/>
      <c r="KC282" s="21"/>
      <c r="KD282" s="21"/>
      <c r="KE282" s="21"/>
      <c r="KF282" s="21"/>
      <c r="KG282" s="21"/>
      <c r="KH282" s="21"/>
      <c r="KI282" s="21"/>
      <c r="KJ282" s="21"/>
      <c r="KK282" s="21"/>
      <c r="KL282" s="21"/>
      <c r="KM282" s="21"/>
      <c r="KN282" s="21"/>
      <c r="KO282" s="21"/>
      <c r="KP282" s="21"/>
      <c r="KQ282" s="168">
        <v>1723028</v>
      </c>
      <c r="KR282" s="168">
        <v>1475983</v>
      </c>
      <c r="KS282" s="21"/>
      <c r="KT282" s="21"/>
      <c r="KU282" s="21"/>
      <c r="KV282" s="21"/>
      <c r="KW282" s="21"/>
      <c r="KX282" s="21"/>
      <c r="KY282" s="21"/>
      <c r="KZ282" s="21"/>
      <c r="LA282" s="168">
        <v>1000</v>
      </c>
      <c r="LB282" s="168">
        <v>1000</v>
      </c>
      <c r="LC282" s="21"/>
      <c r="LD282" s="21"/>
      <c r="LE282" s="21"/>
      <c r="LF282" s="21"/>
      <c r="LG282" s="21"/>
      <c r="LH282" s="21"/>
      <c r="LI282" s="21"/>
      <c r="LJ282" s="21"/>
      <c r="LK282" s="168">
        <v>3903433</v>
      </c>
      <c r="LL282" s="168">
        <v>4152297</v>
      </c>
      <c r="LM282" s="21"/>
      <c r="LN282" s="21"/>
      <c r="LO282" s="21"/>
      <c r="LP282" s="21"/>
      <c r="LQ282" s="21"/>
      <c r="LR282" s="21"/>
      <c r="LS282" s="21"/>
      <c r="LT282" s="21"/>
      <c r="LU282" s="21"/>
      <c r="LV282" s="21"/>
      <c r="LW282" s="21"/>
      <c r="LX282" s="21"/>
      <c r="LY282" s="21"/>
      <c r="LZ282" s="21"/>
      <c r="MA282" s="21"/>
      <c r="MB282" s="21"/>
      <c r="MC282" s="168">
        <v>31979593</v>
      </c>
      <c r="MD282" s="168">
        <v>34027522</v>
      </c>
      <c r="ME282" s="21"/>
      <c r="MF282" s="21"/>
      <c r="MG282" s="21"/>
      <c r="MH282" s="21"/>
      <c r="MI282" s="21"/>
      <c r="MJ282" s="21"/>
      <c r="MK282" s="21"/>
      <c r="ML282" s="21"/>
      <c r="MM282" s="21"/>
      <c r="MN282" s="21"/>
      <c r="MO282" s="21"/>
      <c r="MP282" s="21"/>
      <c r="MQ282" s="21"/>
      <c r="MR282" s="21"/>
      <c r="MS282" s="21"/>
      <c r="MT282" s="21"/>
      <c r="MU282" s="21"/>
      <c r="MV282" s="21"/>
      <c r="MW282" s="21"/>
      <c r="MX282" s="21"/>
      <c r="MY282" s="21"/>
      <c r="MZ282" s="21"/>
      <c r="NA282" s="21"/>
      <c r="NB282" s="21"/>
      <c r="NC282" s="168">
        <v>453111</v>
      </c>
      <c r="ND282" s="168">
        <v>-502892</v>
      </c>
      <c r="NE282" s="21"/>
      <c r="NF282" s="21"/>
      <c r="NG282" s="168">
        <v>-331378</v>
      </c>
      <c r="NH282" s="168">
        <v>-784490</v>
      </c>
      <c r="NI282" s="21"/>
      <c r="NJ282" s="21"/>
      <c r="NK282" s="21"/>
      <c r="NL282" s="21"/>
      <c r="NM282" s="168">
        <v>37606054</v>
      </c>
      <c r="NN282" s="168">
        <v>39655802</v>
      </c>
      <c r="NO282" s="168">
        <v>37383540</v>
      </c>
      <c r="NP282" s="168">
        <v>39094360</v>
      </c>
      <c r="NQ282" s="168" t="s">
        <v>1409</v>
      </c>
      <c r="NR282" s="168" t="s">
        <v>769</v>
      </c>
      <c r="NS282" s="168" t="s">
        <v>770</v>
      </c>
      <c r="NT282" s="168" t="s">
        <v>771</v>
      </c>
      <c r="NU282" s="168">
        <v>1305</v>
      </c>
      <c r="NV282" s="168" t="s">
        <v>2104</v>
      </c>
      <c r="NW282" s="168" t="s">
        <v>28</v>
      </c>
      <c r="NX282" s="168" t="s">
        <v>25</v>
      </c>
      <c r="NY282" s="169">
        <v>42766</v>
      </c>
      <c r="NZ282" s="169">
        <v>42400</v>
      </c>
      <c r="OA282" s="169">
        <v>42972</v>
      </c>
      <c r="OB282" s="168" t="s">
        <v>1470</v>
      </c>
      <c r="OC282" s="168">
        <v>12</v>
      </c>
      <c r="OD282" s="168" t="s">
        <v>2105</v>
      </c>
      <c r="OE282" s="168" t="s">
        <v>2125</v>
      </c>
      <c r="OF282" s="168" t="s">
        <v>2565</v>
      </c>
      <c r="OG282" s="168" t="s">
        <v>2036</v>
      </c>
      <c r="OH282" s="168" t="s">
        <v>1171</v>
      </c>
      <c r="OI282" s="168" t="s">
        <v>766</v>
      </c>
      <c r="OJ282" s="168" t="s">
        <v>3240</v>
      </c>
      <c r="OK282" s="168" t="s">
        <v>767</v>
      </c>
    </row>
    <row r="283" spans="1:401" x14ac:dyDescent="0.2">
      <c r="A283" s="170" t="str">
        <f>Liste[[#This Row],[Siren]]</f>
        <v>435402656</v>
      </c>
      <c r="B283" s="198" t="str">
        <f>Liste[[#This Row],[Dénomination]]&amp;" - comptes "&amp;YEAR(Liste[[#This Row],[Date de cloture de l''exercice]])</f>
        <v>ISACHRIS - comptes 2017</v>
      </c>
      <c r="C283" s="21"/>
      <c r="D283" s="21"/>
      <c r="E283" s="21"/>
      <c r="F283" s="168">
        <v>80600</v>
      </c>
      <c r="G283" s="168">
        <v>1427000</v>
      </c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168">
        <v>602000</v>
      </c>
      <c r="BE283" s="168">
        <v>728000</v>
      </c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168">
        <v>4526000</v>
      </c>
      <c r="BY283" s="168">
        <v>1965000</v>
      </c>
      <c r="BZ283" s="21"/>
      <c r="CA283" s="21"/>
      <c r="CB283" s="21"/>
      <c r="CC283" s="21"/>
      <c r="CD283" s="21"/>
      <c r="CE283" s="168">
        <v>5990000</v>
      </c>
      <c r="CF283" s="168">
        <v>6451000</v>
      </c>
      <c r="CG283" s="21"/>
      <c r="CH283" s="21"/>
      <c r="CI283" s="21"/>
      <c r="CJ283" s="21"/>
      <c r="CK283" s="21"/>
      <c r="CL283" s="21"/>
      <c r="CM283" s="21"/>
      <c r="CN283" s="21"/>
      <c r="CO283" s="21"/>
      <c r="CP283" s="21"/>
      <c r="CQ283" s="21"/>
      <c r="CR283" s="21"/>
      <c r="CS283" s="21"/>
      <c r="CT283" s="21"/>
      <c r="CU283" s="21"/>
      <c r="CV283" s="21"/>
      <c r="CW283" s="21"/>
      <c r="CX283" s="21"/>
      <c r="CY283" s="21"/>
      <c r="CZ283" s="21"/>
      <c r="DA283" s="21"/>
      <c r="DB283" s="21"/>
      <c r="DC283" s="21"/>
      <c r="DD283" s="21"/>
      <c r="DE283" s="21"/>
      <c r="DF283" s="21"/>
      <c r="DG283" s="21"/>
      <c r="DH283" s="21"/>
      <c r="DI283" s="21"/>
      <c r="DJ283" s="21"/>
      <c r="DK283" s="21"/>
      <c r="DL283" s="21"/>
      <c r="DM283" s="21"/>
      <c r="DN283" s="21"/>
      <c r="DO283" s="21"/>
      <c r="DP283" s="21"/>
      <c r="DQ283" s="21"/>
      <c r="DR283" s="21"/>
      <c r="DS283" s="21"/>
      <c r="DT283" s="21"/>
      <c r="DU283" s="21"/>
      <c r="DV283" s="21"/>
      <c r="DW283" s="21"/>
      <c r="DX283" s="21"/>
      <c r="DY283" s="21"/>
      <c r="DZ283" s="21"/>
      <c r="EA283" s="21"/>
      <c r="EB283" s="21"/>
      <c r="EC283" s="21"/>
      <c r="ED283" s="21"/>
      <c r="EE283" s="21"/>
      <c r="EF283" s="21"/>
      <c r="EG283" s="21"/>
      <c r="EH283" s="21"/>
      <c r="EI283" s="21"/>
      <c r="EJ283" s="21"/>
      <c r="EK283" s="21"/>
      <c r="EL283" s="168">
        <v>31847000</v>
      </c>
      <c r="EM283" s="168">
        <v>27888000</v>
      </c>
      <c r="EN283" s="21"/>
      <c r="EO283" s="21"/>
      <c r="EP283" s="168">
        <v>16301000</v>
      </c>
      <c r="EQ283" s="168">
        <v>17333000</v>
      </c>
      <c r="ER283" s="21"/>
      <c r="ES283" s="21"/>
      <c r="ET283" s="168">
        <v>48148000</v>
      </c>
      <c r="EU283" s="168">
        <v>45221000</v>
      </c>
      <c r="EV283" s="21"/>
      <c r="EW283" s="21"/>
      <c r="EX283" s="21"/>
      <c r="EY283" s="21"/>
      <c r="EZ283" s="21"/>
      <c r="FA283" s="21"/>
      <c r="FB283" s="21"/>
      <c r="FC283" s="21"/>
      <c r="FD283" s="21"/>
      <c r="FE283" s="21"/>
      <c r="FF283" s="168">
        <v>6865000</v>
      </c>
      <c r="FG283" s="168">
        <v>7127000</v>
      </c>
      <c r="FH283" s="21"/>
      <c r="FI283" s="168">
        <v>9000</v>
      </c>
      <c r="FJ283" s="168">
        <v>137000</v>
      </c>
      <c r="FK283" s="168">
        <v>1353000</v>
      </c>
      <c r="FL283" s="168">
        <v>784000</v>
      </c>
      <c r="FM283" s="21"/>
      <c r="FN283" s="21"/>
      <c r="FO283" s="21"/>
      <c r="FP283" s="21"/>
      <c r="FQ283" s="168">
        <v>-4611111</v>
      </c>
      <c r="FR283" s="168">
        <v>-461000</v>
      </c>
      <c r="FS283" s="21"/>
      <c r="FT283" s="21"/>
      <c r="FU283" s="21"/>
      <c r="FV283" s="21"/>
      <c r="FW283" s="21"/>
      <c r="FX283" s="21"/>
      <c r="FY283" s="21"/>
      <c r="FZ283" s="21"/>
      <c r="GA283" s="21"/>
      <c r="GB283" s="21"/>
      <c r="GC283" s="21"/>
      <c r="GD283" s="21"/>
      <c r="GE283" s="21"/>
      <c r="GF283" s="21"/>
      <c r="GG283" s="21"/>
      <c r="GH283" s="21"/>
      <c r="GI283" s="21"/>
      <c r="GJ283" s="21"/>
      <c r="GK283" s="21"/>
      <c r="GL283" s="21"/>
      <c r="GM283" s="21"/>
      <c r="GN283" s="21"/>
      <c r="GO283" s="21"/>
      <c r="GP283" s="21"/>
      <c r="GQ283" s="21"/>
      <c r="GR283" s="21"/>
      <c r="GS283" s="21"/>
      <c r="GT283" s="21"/>
      <c r="GU283" s="168">
        <v>-38000</v>
      </c>
      <c r="GV283" s="168">
        <v>-29000</v>
      </c>
      <c r="GW283" s="168">
        <v>46000</v>
      </c>
      <c r="GX283" s="168">
        <v>166000</v>
      </c>
      <c r="GY283" s="21"/>
      <c r="GZ283" s="21"/>
      <c r="HA283" s="21"/>
      <c r="HB283" s="21"/>
      <c r="HC283" s="168">
        <v>-4499000</v>
      </c>
      <c r="HD283" s="168">
        <v>-4223000</v>
      </c>
      <c r="HE283" s="168">
        <v>-124000</v>
      </c>
      <c r="HF283" s="168">
        <v>-85000</v>
      </c>
      <c r="HG283" s="21"/>
      <c r="HH283" s="21"/>
      <c r="HI283" s="168">
        <v>90000</v>
      </c>
      <c r="HJ283" s="168">
        <v>64000</v>
      </c>
      <c r="HK283" s="21"/>
      <c r="HL283" s="21"/>
      <c r="HM283" s="21"/>
      <c r="HN283" s="21"/>
      <c r="HO283" s="21"/>
      <c r="HP283" s="21"/>
      <c r="HQ283" s="21"/>
      <c r="HR283" s="21"/>
      <c r="HS283" s="21"/>
      <c r="HT283" s="21"/>
      <c r="HU283" s="21"/>
      <c r="HV283" s="21"/>
      <c r="HW283" s="21"/>
      <c r="HX283" s="21"/>
      <c r="HY283" s="21"/>
      <c r="HZ283" s="21"/>
      <c r="IA283" s="21"/>
      <c r="IB283" s="21"/>
      <c r="IC283" s="21"/>
      <c r="ID283" s="21"/>
      <c r="IE283" s="168">
        <v>-662000</v>
      </c>
      <c r="IF283" s="168">
        <v>-597000</v>
      </c>
      <c r="IG283" s="21"/>
      <c r="IH283" s="21"/>
      <c r="II283" s="21"/>
      <c r="IJ283" s="21"/>
      <c r="IK283" s="168">
        <v>2669000</v>
      </c>
      <c r="IL283" s="168">
        <v>3146000</v>
      </c>
      <c r="IM283" s="21"/>
      <c r="IN283" s="21"/>
      <c r="IO283" s="21"/>
      <c r="IP283" s="21"/>
      <c r="IQ283" s="21"/>
      <c r="IR283" s="21"/>
      <c r="IS283" s="21"/>
      <c r="IT283" s="21"/>
      <c r="IU283" s="168">
        <v>157900</v>
      </c>
      <c r="IV283" s="168">
        <v>792000</v>
      </c>
      <c r="IW283" s="168">
        <v>1819000</v>
      </c>
      <c r="IX283" s="168">
        <v>1109000</v>
      </c>
      <c r="IY283" s="168">
        <v>-240000</v>
      </c>
      <c r="IZ283" s="168">
        <v>-318000</v>
      </c>
      <c r="JA283" s="168">
        <v>137000</v>
      </c>
      <c r="JB283" s="168">
        <v>54000</v>
      </c>
      <c r="JC283" s="21"/>
      <c r="JD283" s="21"/>
      <c r="JE283" s="21"/>
      <c r="JF283" s="21"/>
      <c r="JG283" s="168">
        <v>7000</v>
      </c>
      <c r="JH283" s="21"/>
      <c r="JI283" s="21"/>
      <c r="JJ283" s="21"/>
      <c r="JK283" s="168">
        <v>-373000</v>
      </c>
      <c r="JL283" s="168">
        <v>-411000</v>
      </c>
      <c r="JM283" s="21"/>
      <c r="JN283" s="21"/>
      <c r="JO283" s="168">
        <v>133000</v>
      </c>
      <c r="JP283" s="168">
        <v>94000</v>
      </c>
      <c r="JQ283" s="21"/>
      <c r="JR283" s="21"/>
      <c r="JS283" s="21"/>
      <c r="JT283" s="21"/>
      <c r="JU283" s="21"/>
      <c r="JV283" s="21"/>
      <c r="JW283" s="168">
        <v>41386000</v>
      </c>
      <c r="JX283" s="168">
        <v>36758000</v>
      </c>
      <c r="JY283" s="21"/>
      <c r="JZ283" s="21"/>
      <c r="KA283" s="21"/>
      <c r="KB283" s="21"/>
      <c r="KC283" s="21"/>
      <c r="KD283" s="21"/>
      <c r="KE283" s="21"/>
      <c r="KF283" s="21"/>
      <c r="KG283" s="21"/>
      <c r="KH283" s="21"/>
      <c r="KI283" s="21"/>
      <c r="KJ283" s="21"/>
      <c r="KK283" s="21"/>
      <c r="KL283" s="21"/>
      <c r="KM283" s="21"/>
      <c r="KN283" s="21"/>
      <c r="KO283" s="21"/>
      <c r="KP283" s="21"/>
      <c r="KQ283" s="168">
        <v>40000</v>
      </c>
      <c r="KR283" s="168">
        <v>86000</v>
      </c>
      <c r="KS283" s="21"/>
      <c r="KT283" s="21"/>
      <c r="KU283" s="21"/>
      <c r="KV283" s="21"/>
      <c r="KW283" s="21"/>
      <c r="KX283" s="21"/>
      <c r="KY283" s="21"/>
      <c r="KZ283" s="21"/>
      <c r="LA283" s="168">
        <v>6824000</v>
      </c>
      <c r="LB283" s="168">
        <v>6824000</v>
      </c>
      <c r="LC283" s="21"/>
      <c r="LD283" s="21"/>
      <c r="LE283" s="21"/>
      <c r="LF283" s="21"/>
      <c r="LG283" s="21"/>
      <c r="LH283" s="21"/>
      <c r="LI283" s="168">
        <v>1534000</v>
      </c>
      <c r="LJ283" s="168">
        <v>1469000</v>
      </c>
      <c r="LK283" s="168">
        <v>3622000</v>
      </c>
      <c r="LL283" s="168">
        <v>4271000</v>
      </c>
      <c r="LM283" s="21"/>
      <c r="LN283" s="21"/>
      <c r="LO283" s="21"/>
      <c r="LP283" s="21"/>
      <c r="LQ283" s="21"/>
      <c r="LR283" s="21"/>
      <c r="LS283" s="21"/>
      <c r="LT283" s="21"/>
      <c r="LU283" s="21"/>
      <c r="LV283" s="21"/>
      <c r="LW283" s="21"/>
      <c r="LX283" s="21"/>
      <c r="LY283" s="21"/>
      <c r="LZ283" s="21"/>
      <c r="MA283" s="21"/>
      <c r="MB283" s="21"/>
      <c r="MC283" s="168">
        <v>15087000</v>
      </c>
      <c r="MD283" s="168">
        <v>10774000</v>
      </c>
      <c r="ME283" s="21"/>
      <c r="MF283" s="21"/>
      <c r="MG283" s="21"/>
      <c r="MH283" s="21"/>
      <c r="MI283" s="21"/>
      <c r="MJ283" s="21"/>
      <c r="MK283" s="21"/>
      <c r="ML283" s="21"/>
      <c r="MM283" s="168">
        <v>38000</v>
      </c>
      <c r="MN283" s="168">
        <v>1587000</v>
      </c>
      <c r="MO283" s="21"/>
      <c r="MP283" s="21"/>
      <c r="MQ283" s="21"/>
      <c r="MR283" s="21"/>
      <c r="MS283" s="21"/>
      <c r="MT283" s="21"/>
      <c r="MU283" s="21"/>
      <c r="MV283" s="21"/>
      <c r="MW283" s="21"/>
      <c r="MX283" s="21"/>
      <c r="MY283" s="21"/>
      <c r="MZ283" s="21"/>
      <c r="NA283" s="21"/>
      <c r="NB283" s="21"/>
      <c r="NC283" s="168">
        <v>894000</v>
      </c>
      <c r="ND283" s="168">
        <v>323000</v>
      </c>
      <c r="NE283" s="21"/>
      <c r="NF283" s="21"/>
      <c r="NG283" s="168">
        <v>26038000</v>
      </c>
      <c r="NH283" s="168">
        <v>25141000</v>
      </c>
      <c r="NI283" s="21"/>
      <c r="NJ283" s="21"/>
      <c r="NK283" s="168">
        <v>43000</v>
      </c>
      <c r="NL283" s="21"/>
      <c r="NM283" s="168">
        <v>20320000</v>
      </c>
      <c r="NN283" s="168">
        <v>18187000</v>
      </c>
      <c r="NO283" s="168">
        <v>48149000</v>
      </c>
      <c r="NP283" s="168">
        <v>-45221000</v>
      </c>
      <c r="NQ283" s="168" t="s">
        <v>1360</v>
      </c>
      <c r="NR283" s="168" t="s">
        <v>797</v>
      </c>
      <c r="NS283" s="168" t="s">
        <v>770</v>
      </c>
      <c r="NT283" s="168" t="s">
        <v>771</v>
      </c>
      <c r="NU283" s="168">
        <v>3501</v>
      </c>
      <c r="NV283" s="168" t="s">
        <v>2104</v>
      </c>
      <c r="NW283" s="168" t="s">
        <v>28</v>
      </c>
      <c r="NX283" s="168" t="s">
        <v>25</v>
      </c>
      <c r="NY283" s="169">
        <v>42766</v>
      </c>
      <c r="NZ283" s="169">
        <v>42490</v>
      </c>
      <c r="OA283" s="169">
        <v>43005</v>
      </c>
      <c r="OB283" s="168" t="s">
        <v>1474</v>
      </c>
      <c r="OC283" s="168">
        <v>9</v>
      </c>
      <c r="OD283" s="168" t="s">
        <v>2105</v>
      </c>
      <c r="OE283" s="168" t="s">
        <v>2292</v>
      </c>
      <c r="OF283" s="168" t="s">
        <v>2568</v>
      </c>
      <c r="OG283" s="168" t="s">
        <v>2038</v>
      </c>
      <c r="OH283" s="168" t="s">
        <v>834</v>
      </c>
      <c r="OI283" s="168" t="s">
        <v>766</v>
      </c>
      <c r="OJ283" s="168" t="s">
        <v>3240</v>
      </c>
      <c r="OK283" s="168" t="s">
        <v>796</v>
      </c>
    </row>
    <row r="284" spans="1:401" x14ac:dyDescent="0.2">
      <c r="A284" s="170" t="str">
        <f>Liste[[#This Row],[Siren]]</f>
        <v>453901944</v>
      </c>
      <c r="B284" s="198" t="str">
        <f>Liste[[#This Row],[Dénomination]]&amp;" - comptes "&amp;YEAR(Liste[[#This Row],[Date de cloture de l''exercice]])</f>
        <v>ARGALI - comptes 2017</v>
      </c>
      <c r="C284" s="21"/>
      <c r="D284" s="21"/>
      <c r="E284" s="21"/>
      <c r="F284" s="168">
        <v>962951</v>
      </c>
      <c r="G284" s="168">
        <v>988183</v>
      </c>
      <c r="H284" s="168">
        <v>962951</v>
      </c>
      <c r="I284" s="168">
        <v>4954960</v>
      </c>
      <c r="J284" s="168">
        <v>208836</v>
      </c>
      <c r="K284" s="168">
        <v>307495</v>
      </c>
      <c r="L284" s="168">
        <v>5163796</v>
      </c>
      <c r="M284" s="21"/>
      <c r="N284" s="168">
        <v>51</v>
      </c>
      <c r="O284" s="168">
        <v>76</v>
      </c>
      <c r="P284" s="168">
        <v>51</v>
      </c>
      <c r="Q284" s="21"/>
      <c r="R284" s="21"/>
      <c r="S284" s="21"/>
      <c r="T284" s="21"/>
      <c r="U284" s="21"/>
      <c r="V284" s="21"/>
      <c r="W284" s="21"/>
      <c r="X284" s="21"/>
      <c r="Y284" s="21"/>
      <c r="Z284" s="168">
        <v>452304</v>
      </c>
      <c r="AA284" s="168">
        <v>445904</v>
      </c>
      <c r="AB284" s="168">
        <v>452304</v>
      </c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168">
        <v>279830</v>
      </c>
      <c r="BA284" s="168">
        <v>250114</v>
      </c>
      <c r="BB284" s="168">
        <v>279830</v>
      </c>
      <c r="BC284" s="168">
        <v>14803</v>
      </c>
      <c r="BD284" s="168">
        <v>221532</v>
      </c>
      <c r="BE284" s="168">
        <v>204842</v>
      </c>
      <c r="BF284" s="168">
        <v>236335</v>
      </c>
      <c r="BG284" s="168">
        <v>49782</v>
      </c>
      <c r="BH284" s="168">
        <v>7622</v>
      </c>
      <c r="BI284" s="168">
        <v>7622</v>
      </c>
      <c r="BJ284" s="168">
        <v>57404</v>
      </c>
      <c r="BK284" s="168">
        <v>6274403</v>
      </c>
      <c r="BL284" s="168">
        <v>7151345</v>
      </c>
      <c r="BM284" s="168">
        <v>7744435</v>
      </c>
      <c r="BN284" s="168">
        <v>13425748</v>
      </c>
      <c r="BO284" s="21"/>
      <c r="BP284" s="21"/>
      <c r="BQ284" s="21"/>
      <c r="BR284" s="21"/>
      <c r="BS284" s="21"/>
      <c r="BT284" s="21"/>
      <c r="BU284" s="21"/>
      <c r="BV284" s="21"/>
      <c r="BW284" s="21"/>
      <c r="BX284" s="168">
        <v>1254555</v>
      </c>
      <c r="BY284" s="168">
        <v>1845897</v>
      </c>
      <c r="BZ284" s="168">
        <v>1254555</v>
      </c>
      <c r="CA284" s="21"/>
      <c r="CB284" s="21"/>
      <c r="CC284" s="21"/>
      <c r="CD284" s="21"/>
      <c r="CE284" s="21"/>
      <c r="CF284" s="21"/>
      <c r="CG284" s="21"/>
      <c r="CH284" s="21"/>
      <c r="CI284" s="21"/>
      <c r="CJ284" s="21"/>
      <c r="CK284" s="21"/>
      <c r="CL284" s="21"/>
      <c r="CM284" s="21"/>
      <c r="CN284" s="21"/>
      <c r="CO284" s="21"/>
      <c r="CP284" s="21"/>
      <c r="CQ284" s="21"/>
      <c r="CR284" s="21"/>
      <c r="CS284" s="21"/>
      <c r="CT284" s="21"/>
      <c r="CU284" s="21"/>
      <c r="CV284" s="21"/>
      <c r="CW284" s="21"/>
      <c r="CX284" s="21"/>
      <c r="CY284" s="21"/>
      <c r="CZ284" s="21"/>
      <c r="DA284" s="21"/>
      <c r="DB284" s="21"/>
      <c r="DC284" s="21"/>
      <c r="DD284" s="21"/>
      <c r="DE284" s="21"/>
      <c r="DF284" s="168">
        <v>1760303</v>
      </c>
      <c r="DG284" s="168">
        <v>352753</v>
      </c>
      <c r="DH284" s="168">
        <v>437788</v>
      </c>
      <c r="DI284" s="168">
        <v>2113056</v>
      </c>
      <c r="DJ284" s="168">
        <v>91097</v>
      </c>
      <c r="DK284" s="168">
        <v>3912721</v>
      </c>
      <c r="DL284" s="168">
        <v>3707230</v>
      </c>
      <c r="DM284" s="168">
        <v>4003818</v>
      </c>
      <c r="DN284" s="21"/>
      <c r="DO284" s="168">
        <v>16082</v>
      </c>
      <c r="DP284" s="168">
        <v>14458</v>
      </c>
      <c r="DQ284" s="168">
        <v>16082</v>
      </c>
      <c r="DR284" s="21"/>
      <c r="DS284" s="21"/>
      <c r="DT284" s="21"/>
      <c r="DU284" s="21"/>
      <c r="DV284" s="21"/>
      <c r="DW284" s="168">
        <v>11765</v>
      </c>
      <c r="DX284" s="168">
        <v>275</v>
      </c>
      <c r="DY284" s="168">
        <v>11765</v>
      </c>
      <c r="DZ284" s="21"/>
      <c r="EA284" s="21"/>
      <c r="EB284" s="21"/>
      <c r="EC284" s="21"/>
      <c r="ED284" s="21"/>
      <c r="EE284" s="21"/>
      <c r="EF284" s="21"/>
      <c r="EG284" s="21"/>
      <c r="EH284" s="21"/>
      <c r="EI284" s="21"/>
      <c r="EJ284" s="21"/>
      <c r="EK284" s="168">
        <v>13282776</v>
      </c>
      <c r="EL284" s="168">
        <v>8683800</v>
      </c>
      <c r="EM284" s="168">
        <v>9457033</v>
      </c>
      <c r="EN284" s="168">
        <v>21966576</v>
      </c>
      <c r="EO284" s="168">
        <v>105900</v>
      </c>
      <c r="EP284" s="168">
        <v>6647671</v>
      </c>
      <c r="EQ284" s="168">
        <v>7010724</v>
      </c>
      <c r="ER284" s="168">
        <v>6753571</v>
      </c>
      <c r="ES284" s="168">
        <v>14771714</v>
      </c>
      <c r="ET284" s="168">
        <v>23711048</v>
      </c>
      <c r="EU284" s="168">
        <v>24847334</v>
      </c>
      <c r="EV284" s="168">
        <v>38482762</v>
      </c>
      <c r="EW284" s="168">
        <v>243328</v>
      </c>
      <c r="EX284" s="168">
        <v>494124</v>
      </c>
      <c r="EY284" s="168">
        <v>513438</v>
      </c>
      <c r="EZ284" s="168">
        <v>737452</v>
      </c>
      <c r="FA284" s="21"/>
      <c r="FB284" s="21"/>
      <c r="FC284" s="21"/>
      <c r="FD284" s="21"/>
      <c r="FE284" s="21"/>
      <c r="FF284" s="21"/>
      <c r="FG284" s="21"/>
      <c r="FH284" s="21"/>
      <c r="FI284" s="168">
        <v>6640</v>
      </c>
      <c r="FJ284" s="168">
        <v>12163</v>
      </c>
      <c r="FK284" s="168">
        <v>-103090</v>
      </c>
      <c r="FL284" s="168">
        <v>45200</v>
      </c>
      <c r="FM284" s="168">
        <v>2945</v>
      </c>
      <c r="FN284" s="168">
        <v>2018</v>
      </c>
      <c r="FO284" s="168">
        <v>3382</v>
      </c>
      <c r="FP284" s="168">
        <v>5218</v>
      </c>
      <c r="FQ284" s="21"/>
      <c r="FR284" s="21"/>
      <c r="FS284" s="168">
        <v>11521</v>
      </c>
      <c r="FT284" s="168">
        <v>15792</v>
      </c>
      <c r="FU284" s="168">
        <v>-316035</v>
      </c>
      <c r="FV284" s="168">
        <v>-96471</v>
      </c>
      <c r="FW284" s="168">
        <v>212945</v>
      </c>
      <c r="FX284" s="168">
        <v>141671</v>
      </c>
      <c r="FY284" s="168">
        <v>1979</v>
      </c>
      <c r="FZ284" s="168">
        <v>1318</v>
      </c>
      <c r="GA284" s="21"/>
      <c r="GB284" s="21"/>
      <c r="GC284" s="168">
        <v>3488</v>
      </c>
      <c r="GD284" s="168">
        <v>34741</v>
      </c>
      <c r="GE284" s="168">
        <v>21000</v>
      </c>
      <c r="GF284" s="168">
        <v>450</v>
      </c>
      <c r="GG284" s="21"/>
      <c r="GH284" s="21"/>
      <c r="GI284" s="21"/>
      <c r="GJ284" s="21"/>
      <c r="GK284" s="21"/>
      <c r="GL284" s="21"/>
      <c r="GM284" s="168">
        <v>744270</v>
      </c>
      <c r="GN284" s="168">
        <v>-80773</v>
      </c>
      <c r="GO284" s="168">
        <v>744270</v>
      </c>
      <c r="GP284" s="168">
        <v>407358</v>
      </c>
      <c r="GQ284" s="21"/>
      <c r="GR284" s="21"/>
      <c r="GS284" s="21"/>
      <c r="GT284" s="21"/>
      <c r="GU284" s="168">
        <v>17848</v>
      </c>
      <c r="GV284" s="168">
        <v>23028</v>
      </c>
      <c r="GW284" s="168">
        <v>24488</v>
      </c>
      <c r="GX284" s="168">
        <v>35191</v>
      </c>
      <c r="GY284" s="168">
        <v>39119069</v>
      </c>
      <c r="GZ284" s="168">
        <v>39154142</v>
      </c>
      <c r="HA284" s="168">
        <v>277454</v>
      </c>
      <c r="HB284" s="168">
        <v>282174</v>
      </c>
      <c r="HC284" s="168">
        <v>3127802</v>
      </c>
      <c r="HD284" s="168">
        <v>3018248</v>
      </c>
      <c r="HE284" s="168">
        <v>37861</v>
      </c>
      <c r="HF284" s="168">
        <v>53615</v>
      </c>
      <c r="HG284" s="168">
        <v>909</v>
      </c>
      <c r="HH284" s="168">
        <v>2296</v>
      </c>
      <c r="HI284" s="168">
        <v>18447</v>
      </c>
      <c r="HJ284" s="168">
        <v>24529</v>
      </c>
      <c r="HK284" s="21"/>
      <c r="HL284" s="21"/>
      <c r="HM284" s="21"/>
      <c r="HN284" s="21"/>
      <c r="HO284" s="168">
        <v>958884</v>
      </c>
      <c r="HP284" s="168">
        <v>949548</v>
      </c>
      <c r="HQ284" s="168">
        <v>-1</v>
      </c>
      <c r="HR284" s="168">
        <v>3</v>
      </c>
      <c r="HS284" s="21"/>
      <c r="HT284" s="168">
        <v>4</v>
      </c>
      <c r="HU284" s="168">
        <v>1021784</v>
      </c>
      <c r="HV284" s="168">
        <v>993484</v>
      </c>
      <c r="HW284" s="21"/>
      <c r="HX284" s="21"/>
      <c r="HY284" s="21"/>
      <c r="HZ284" s="21"/>
      <c r="IA284" s="168">
        <v>94796</v>
      </c>
      <c r="IB284" s="168">
        <v>88374</v>
      </c>
      <c r="IC284" s="21"/>
      <c r="ID284" s="21"/>
      <c r="IE284" s="168">
        <v>736093</v>
      </c>
      <c r="IF284" s="168">
        <v>727825</v>
      </c>
      <c r="IG284" s="168">
        <v>375487</v>
      </c>
      <c r="IH284" s="168">
        <v>414251</v>
      </c>
      <c r="II284" s="21"/>
      <c r="IJ284" s="21"/>
      <c r="IK284" s="21"/>
      <c r="IL284" s="21"/>
      <c r="IM284" s="21"/>
      <c r="IN284" s="21"/>
      <c r="IO284" s="168">
        <v>11490</v>
      </c>
      <c r="IP284" s="168">
        <v>275</v>
      </c>
      <c r="IQ284" s="21"/>
      <c r="IR284" s="21"/>
      <c r="IS284" s="21"/>
      <c r="IT284" s="21"/>
      <c r="IU284" s="168">
        <v>634540</v>
      </c>
      <c r="IV284" s="168">
        <v>440395</v>
      </c>
      <c r="IW284" s="168">
        <v>997627</v>
      </c>
      <c r="IX284" s="168">
        <v>852074</v>
      </c>
      <c r="IY284" s="168">
        <v>-363087</v>
      </c>
      <c r="IZ284" s="168">
        <v>-411679</v>
      </c>
      <c r="JA284" s="168">
        <v>216585</v>
      </c>
      <c r="JB284" s="168">
        <v>239890</v>
      </c>
      <c r="JC284" s="21"/>
      <c r="JD284" s="21"/>
      <c r="JE284" s="168">
        <v>4144492</v>
      </c>
      <c r="JF284" s="168">
        <v>4037465</v>
      </c>
      <c r="JG284" s="21"/>
      <c r="JH284" s="168">
        <v>27436</v>
      </c>
      <c r="JI284" s="168">
        <v>49298531</v>
      </c>
      <c r="JJ284" s="168">
        <v>49333718</v>
      </c>
      <c r="JK284" s="168">
        <v>375486</v>
      </c>
      <c r="JL284" s="168">
        <v>414254</v>
      </c>
      <c r="JM284" s="168">
        <v>235032</v>
      </c>
      <c r="JN284" s="168">
        <v>291855</v>
      </c>
      <c r="JO284" s="168">
        <v>12399</v>
      </c>
      <c r="JP284" s="168">
        <v>2575</v>
      </c>
      <c r="JQ284" s="168">
        <v>-218081</v>
      </c>
      <c r="JR284" s="168">
        <v>30896</v>
      </c>
      <c r="JS284" s="168">
        <v>-1623</v>
      </c>
      <c r="JT284" s="168">
        <v>-2053</v>
      </c>
      <c r="JU284" s="21"/>
      <c r="JV284" s="21"/>
      <c r="JW284" s="168">
        <v>50061126</v>
      </c>
      <c r="JX284" s="168">
        <v>49893937</v>
      </c>
      <c r="JY284" s="21"/>
      <c r="JZ284" s="21"/>
      <c r="KA284" s="168">
        <v>-778</v>
      </c>
      <c r="KB284" s="168">
        <v>-2352</v>
      </c>
      <c r="KC284" s="21"/>
      <c r="KD284" s="21"/>
      <c r="KE284" s="168">
        <v>1546177</v>
      </c>
      <c r="KF284" s="168">
        <v>1525030</v>
      </c>
      <c r="KG284" s="21"/>
      <c r="KH284" s="21"/>
      <c r="KI284" s="168">
        <v>48515727</v>
      </c>
      <c r="KJ284" s="168">
        <v>48371259</v>
      </c>
      <c r="KK284" s="21"/>
      <c r="KL284" s="21"/>
      <c r="KM284" s="21"/>
      <c r="KN284" s="21"/>
      <c r="KO284" s="21"/>
      <c r="KP284" s="21"/>
      <c r="KQ284" s="168">
        <v>137</v>
      </c>
      <c r="KR284" s="168">
        <v>182</v>
      </c>
      <c r="KS284" s="21"/>
      <c r="KT284" s="21"/>
      <c r="KU284" s="168">
        <v>2055510</v>
      </c>
      <c r="KV284" s="168">
        <v>873753</v>
      </c>
      <c r="KW284" s="21"/>
      <c r="KX284" s="21"/>
      <c r="KY284" s="168">
        <v>13231</v>
      </c>
      <c r="KZ284" s="168">
        <v>8229</v>
      </c>
      <c r="LA284" s="168">
        <v>2083000</v>
      </c>
      <c r="LB284" s="168">
        <v>2083000</v>
      </c>
      <c r="LC284" s="168">
        <v>11860</v>
      </c>
      <c r="LD284" s="168">
        <v>11543</v>
      </c>
      <c r="LE284" s="168">
        <v>1979</v>
      </c>
      <c r="LF284" s="168">
        <v>1318</v>
      </c>
      <c r="LG284" s="21"/>
      <c r="LH284" s="21"/>
      <c r="LI284" s="168">
        <v>1712588</v>
      </c>
      <c r="LJ284" s="168">
        <v>1663876</v>
      </c>
      <c r="LK284" s="168">
        <v>3980963</v>
      </c>
      <c r="LL284" s="168">
        <v>3818991</v>
      </c>
      <c r="LM284" s="168">
        <v>2287</v>
      </c>
      <c r="LN284" s="168">
        <v>11961</v>
      </c>
      <c r="LO284" s="21"/>
      <c r="LP284" s="21"/>
      <c r="LQ284" s="21"/>
      <c r="LR284" s="21"/>
      <c r="LS284" s="21"/>
      <c r="LT284" s="21"/>
      <c r="LU284" s="21"/>
      <c r="LV284" s="21"/>
      <c r="LW284" s="21"/>
      <c r="LX284" s="21"/>
      <c r="LY284" s="21"/>
      <c r="LZ284" s="21"/>
      <c r="MA284" s="168">
        <v>10491598</v>
      </c>
      <c r="MB284" s="168">
        <v>12311942</v>
      </c>
      <c r="MC284" s="168">
        <v>2605113</v>
      </c>
      <c r="MD284" s="168">
        <v>2562069</v>
      </c>
      <c r="ME284" s="21"/>
      <c r="MF284" s="21"/>
      <c r="MG284" s="168">
        <v>1188935</v>
      </c>
      <c r="MH284" s="168">
        <v>1505759</v>
      </c>
      <c r="MI284" s="21"/>
      <c r="MJ284" s="21"/>
      <c r="MK284" s="21"/>
      <c r="ML284" s="21"/>
      <c r="MM284" s="168">
        <v>31668</v>
      </c>
      <c r="MN284" s="168">
        <v>34588</v>
      </c>
      <c r="MO284" s="168">
        <v>496812</v>
      </c>
      <c r="MP284" s="168">
        <v>485291</v>
      </c>
      <c r="MQ284" s="21"/>
      <c r="MR284" s="21"/>
      <c r="MS284" s="21"/>
      <c r="MT284" s="21"/>
      <c r="MU284" s="21"/>
      <c r="MV284" s="21"/>
      <c r="MW284" s="168">
        <v>108185</v>
      </c>
      <c r="MX284" s="168">
        <v>45987</v>
      </c>
      <c r="MY284" s="21"/>
      <c r="MZ284" s="21"/>
      <c r="NA284" s="21"/>
      <c r="NB284" s="21"/>
      <c r="NC284" s="168">
        <v>742291</v>
      </c>
      <c r="ND284" s="168">
        <v>-82091</v>
      </c>
      <c r="NE284" s="21"/>
      <c r="NF284" s="21"/>
      <c r="NG284" s="168">
        <v>3173877</v>
      </c>
      <c r="NH284" s="168">
        <v>2431585</v>
      </c>
      <c r="NI284" s="21"/>
      <c r="NJ284" s="21"/>
      <c r="NK284" s="168">
        <v>13839</v>
      </c>
      <c r="NL284" s="168">
        <v>12861</v>
      </c>
      <c r="NM284" s="168">
        <v>18837585</v>
      </c>
      <c r="NN284" s="168">
        <v>20411838</v>
      </c>
      <c r="NO284" s="168">
        <v>23711048</v>
      </c>
      <c r="NP284" s="168">
        <v>24847334</v>
      </c>
      <c r="NQ284" s="168" t="s">
        <v>1484</v>
      </c>
      <c r="NR284" s="168" t="s">
        <v>769</v>
      </c>
      <c r="NS284" s="168" t="s">
        <v>770</v>
      </c>
      <c r="NT284" s="168" t="s">
        <v>771</v>
      </c>
      <c r="NU284" s="168">
        <v>5301</v>
      </c>
      <c r="NV284" s="168" t="s">
        <v>2104</v>
      </c>
      <c r="NW284" s="168" t="s">
        <v>28</v>
      </c>
      <c r="NX284" s="168" t="s">
        <v>25</v>
      </c>
      <c r="NY284" s="169">
        <v>42766</v>
      </c>
      <c r="NZ284" s="169">
        <v>42400</v>
      </c>
      <c r="OA284" s="169">
        <v>42934</v>
      </c>
      <c r="OB284" s="168" t="s">
        <v>1575</v>
      </c>
      <c r="OC284" s="168">
        <v>12</v>
      </c>
      <c r="OD284" s="168" t="s">
        <v>2105</v>
      </c>
      <c r="OE284" s="168" t="s">
        <v>2354</v>
      </c>
      <c r="OF284" s="168" t="s">
        <v>2651</v>
      </c>
      <c r="OG284" s="168" t="s">
        <v>2097</v>
      </c>
      <c r="OH284" s="168" t="s">
        <v>793</v>
      </c>
      <c r="OI284" s="168" t="s">
        <v>766</v>
      </c>
      <c r="OJ284" s="168" t="s">
        <v>3240</v>
      </c>
      <c r="OK284" s="168" t="s">
        <v>767</v>
      </c>
    </row>
    <row r="285" spans="1:401" x14ac:dyDescent="0.2">
      <c r="A285" s="170" t="str">
        <f>Liste[[#This Row],[Siren]]</f>
        <v>500470968</v>
      </c>
      <c r="B285" s="198" t="str">
        <f>Liste[[#This Row],[Dénomination]]&amp;" - comptes "&amp;YEAR(Liste[[#This Row],[Date de cloture de l''exercice]])</f>
        <v>SOFI-IFS - comptes 2017</v>
      </c>
      <c r="C285" s="21"/>
      <c r="D285" s="21"/>
      <c r="E285" s="21"/>
      <c r="F285" s="168">
        <v>2421029</v>
      </c>
      <c r="G285" s="168">
        <v>3272044</v>
      </c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168">
        <v>1144650</v>
      </c>
      <c r="BE285" s="168">
        <v>1204778</v>
      </c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168">
        <v>2576067</v>
      </c>
      <c r="BY285" s="168">
        <v>2789643</v>
      </c>
      <c r="BZ285" s="21"/>
      <c r="CA285" s="21"/>
      <c r="CB285" s="21"/>
      <c r="CC285" s="21"/>
      <c r="CD285" s="21"/>
      <c r="CE285" s="21"/>
      <c r="CF285" s="168">
        <v>201244</v>
      </c>
      <c r="CG285" s="21"/>
      <c r="CH285" s="21"/>
      <c r="CI285" s="21"/>
      <c r="CJ285" s="21"/>
      <c r="CK285" s="21"/>
      <c r="CL285" s="21"/>
      <c r="CM285" s="21"/>
      <c r="CN285" s="21"/>
      <c r="CO285" s="21"/>
      <c r="CP285" s="21"/>
      <c r="CQ285" s="21"/>
      <c r="CR285" s="21"/>
      <c r="CS285" s="21"/>
      <c r="CT285" s="21"/>
      <c r="CU285" s="21"/>
      <c r="CV285" s="21"/>
      <c r="CW285" s="21"/>
      <c r="CX285" s="21"/>
      <c r="CY285" s="21"/>
      <c r="CZ285" s="21"/>
      <c r="DA285" s="21"/>
      <c r="DB285" s="21"/>
      <c r="DC285" s="21"/>
      <c r="DD285" s="21"/>
      <c r="DE285" s="21"/>
      <c r="DF285" s="21"/>
      <c r="DG285" s="21"/>
      <c r="DH285" s="21"/>
      <c r="DI285" s="21"/>
      <c r="DJ285" s="21"/>
      <c r="DK285" s="21"/>
      <c r="DL285" s="21"/>
      <c r="DM285" s="21"/>
      <c r="DN285" s="21"/>
      <c r="DO285" s="21"/>
      <c r="DP285" s="21"/>
      <c r="DQ285" s="21"/>
      <c r="DR285" s="21"/>
      <c r="DS285" s="21"/>
      <c r="DT285" s="21"/>
      <c r="DU285" s="21"/>
      <c r="DV285" s="21"/>
      <c r="DW285" s="21"/>
      <c r="DX285" s="21"/>
      <c r="DY285" s="21"/>
      <c r="DZ285" s="21"/>
      <c r="EA285" s="21"/>
      <c r="EB285" s="21"/>
      <c r="EC285" s="21"/>
      <c r="ED285" s="21"/>
      <c r="EE285" s="21"/>
      <c r="EF285" s="21"/>
      <c r="EG285" s="21"/>
      <c r="EH285" s="21"/>
      <c r="EI285" s="21"/>
      <c r="EJ285" s="21"/>
      <c r="EK285" s="21"/>
      <c r="EL285" s="168">
        <v>36976501</v>
      </c>
      <c r="EM285" s="168">
        <v>36500227</v>
      </c>
      <c r="EN285" s="21"/>
      <c r="EO285" s="21"/>
      <c r="EP285" s="168">
        <v>14958091</v>
      </c>
      <c r="EQ285" s="168">
        <v>15875880</v>
      </c>
      <c r="ER285" s="21"/>
      <c r="ES285" s="21"/>
      <c r="ET285" s="168">
        <v>52196909</v>
      </c>
      <c r="EU285" s="168">
        <v>52828350</v>
      </c>
      <c r="EV285" s="21"/>
      <c r="EW285" s="21"/>
      <c r="EX285" s="21"/>
      <c r="EY285" s="21"/>
      <c r="EZ285" s="21"/>
      <c r="FA285" s="21"/>
      <c r="FB285" s="21"/>
      <c r="FC285" s="21"/>
      <c r="FD285" s="21"/>
      <c r="FE285" s="21"/>
      <c r="FF285" s="168">
        <v>435370</v>
      </c>
      <c r="FG285" s="168">
        <v>433240</v>
      </c>
      <c r="FH285" s="21"/>
      <c r="FI285" s="168">
        <v>-168598</v>
      </c>
      <c r="FJ285" s="168">
        <v>-131606</v>
      </c>
      <c r="FK285" s="21"/>
      <c r="FL285" s="21"/>
      <c r="FM285" s="21"/>
      <c r="FN285" s="21"/>
      <c r="FO285" s="21"/>
      <c r="FP285" s="21"/>
      <c r="FQ285" s="21"/>
      <c r="FR285" s="168">
        <v>17956</v>
      </c>
      <c r="FS285" s="21"/>
      <c r="FT285" s="21"/>
      <c r="FU285" s="21"/>
      <c r="FV285" s="21"/>
      <c r="FW285" s="168">
        <v>879598</v>
      </c>
      <c r="FX285" s="168">
        <v>931000</v>
      </c>
      <c r="FY285" s="168">
        <v>375</v>
      </c>
      <c r="FZ285" s="168">
        <v>255</v>
      </c>
      <c r="GA285" s="21"/>
      <c r="GB285" s="21"/>
      <c r="GC285" s="21"/>
      <c r="GD285" s="21"/>
      <c r="GE285" s="21"/>
      <c r="GF285" s="21"/>
      <c r="GG285" s="21"/>
      <c r="GH285" s="21"/>
      <c r="GI285" s="21"/>
      <c r="GJ285" s="21"/>
      <c r="GK285" s="21"/>
      <c r="GL285" s="21"/>
      <c r="GM285" s="168">
        <v>2557659</v>
      </c>
      <c r="GN285" s="168">
        <v>2338604</v>
      </c>
      <c r="GO285" s="168">
        <v>2557659</v>
      </c>
      <c r="GP285" s="168">
        <v>2356560</v>
      </c>
      <c r="GQ285" s="21"/>
      <c r="GR285" s="21"/>
      <c r="GS285" s="168">
        <v>2557284</v>
      </c>
      <c r="GT285" s="168">
        <v>2338349</v>
      </c>
      <c r="GU285" s="168">
        <v>200468</v>
      </c>
      <c r="GV285" s="168">
        <v>402009</v>
      </c>
      <c r="GW285" s="168">
        <v>31870</v>
      </c>
      <c r="GX285" s="168">
        <v>270403</v>
      </c>
      <c r="GY285" s="21"/>
      <c r="GZ285" s="21"/>
      <c r="HA285" s="21"/>
      <c r="HB285" s="21"/>
      <c r="HC285" s="168">
        <v>8108263</v>
      </c>
      <c r="HD285" s="168">
        <v>8064661</v>
      </c>
      <c r="HE285" s="21"/>
      <c r="HF285" s="21"/>
      <c r="HG285" s="21"/>
      <c r="HH285" s="21"/>
      <c r="HI285" s="168">
        <v>21022</v>
      </c>
      <c r="HJ285" s="168">
        <v>26326</v>
      </c>
      <c r="HK285" s="21"/>
      <c r="HL285" s="21"/>
      <c r="HM285" s="21"/>
      <c r="HN285" s="21"/>
      <c r="HO285" s="21"/>
      <c r="HP285" s="21"/>
      <c r="HQ285" s="21"/>
      <c r="HR285" s="21"/>
      <c r="HS285" s="21"/>
      <c r="HT285" s="21"/>
      <c r="HU285" s="168">
        <v>1996886</v>
      </c>
      <c r="HV285" s="168">
        <v>1996856</v>
      </c>
      <c r="HW285" s="21"/>
      <c r="HX285" s="21"/>
      <c r="HY285" s="21"/>
      <c r="HZ285" s="21"/>
      <c r="IA285" s="21"/>
      <c r="IB285" s="21"/>
      <c r="IC285" s="21"/>
      <c r="ID285" s="21"/>
      <c r="IE285" s="168">
        <v>1823833</v>
      </c>
      <c r="IF285" s="168">
        <v>1786516</v>
      </c>
      <c r="IG285" s="21"/>
      <c r="IH285" s="21"/>
      <c r="II285" s="21"/>
      <c r="IJ285" s="21"/>
      <c r="IK285" s="21"/>
      <c r="IL285" s="21"/>
      <c r="IM285" s="21"/>
      <c r="IN285" s="21"/>
      <c r="IO285" s="21"/>
      <c r="IP285" s="21"/>
      <c r="IQ285" s="21"/>
      <c r="IR285" s="21"/>
      <c r="IS285" s="21"/>
      <c r="IT285" s="21"/>
      <c r="IU285" s="168">
        <v>3605855</v>
      </c>
      <c r="IV285" s="168">
        <v>3419166</v>
      </c>
      <c r="IW285" s="168">
        <v>3902683</v>
      </c>
      <c r="IX285" s="168">
        <v>3790054</v>
      </c>
      <c r="IY285" s="168">
        <v>-390386</v>
      </c>
      <c r="IZ285" s="168">
        <v>-446369</v>
      </c>
      <c r="JA285" s="168">
        <v>347601</v>
      </c>
      <c r="JB285" s="168">
        <v>638638</v>
      </c>
      <c r="JC285" s="21"/>
      <c r="JD285" s="21"/>
      <c r="JE285" s="168">
        <v>13157895</v>
      </c>
      <c r="JF285" s="168">
        <v>13056525</v>
      </c>
      <c r="JG285" s="21"/>
      <c r="JH285" s="168">
        <v>91930</v>
      </c>
      <c r="JI285" s="168">
        <v>108884630</v>
      </c>
      <c r="JJ285" s="168">
        <v>107092811</v>
      </c>
      <c r="JK285" s="168">
        <v>431897</v>
      </c>
      <c r="JL285" s="168">
        <v>494438</v>
      </c>
      <c r="JM285" s="168">
        <v>112787313</v>
      </c>
      <c r="JN285" s="168">
        <v>110882865</v>
      </c>
      <c r="JO285" s="168">
        <v>41511</v>
      </c>
      <c r="JP285" s="168">
        <v>48069</v>
      </c>
      <c r="JQ285" s="21"/>
      <c r="JR285" s="21"/>
      <c r="JS285" s="21"/>
      <c r="JT285" s="21"/>
      <c r="JU285" s="21"/>
      <c r="JV285" s="21"/>
      <c r="JW285" s="168">
        <v>112418690</v>
      </c>
      <c r="JX285" s="168">
        <v>110125971</v>
      </c>
      <c r="JY285" s="21"/>
      <c r="JZ285" s="21"/>
      <c r="KA285" s="21"/>
      <c r="KB285" s="21"/>
      <c r="KC285" s="21"/>
      <c r="KD285" s="21"/>
      <c r="KE285" s="21"/>
      <c r="KF285" s="21"/>
      <c r="KG285" s="21"/>
      <c r="KH285" s="21"/>
      <c r="KI285" s="168">
        <v>102595821</v>
      </c>
      <c r="KJ285" s="168">
        <v>100486397</v>
      </c>
      <c r="KK285" s="21"/>
      <c r="KL285" s="21"/>
      <c r="KM285" s="21"/>
      <c r="KN285" s="21"/>
      <c r="KO285" s="21"/>
      <c r="KP285" s="21"/>
      <c r="KQ285" s="168">
        <v>740141</v>
      </c>
      <c r="KR285" s="168">
        <v>649919</v>
      </c>
      <c r="KS285" s="21"/>
      <c r="KT285" s="21"/>
      <c r="KU285" s="21"/>
      <c r="KV285" s="21"/>
      <c r="KW285" s="21"/>
      <c r="KX285" s="21"/>
      <c r="KY285" s="21"/>
      <c r="KZ285" s="21"/>
      <c r="LA285" s="168">
        <v>37000</v>
      </c>
      <c r="LB285" s="168">
        <v>37000</v>
      </c>
      <c r="LC285" s="21"/>
      <c r="LD285" s="21"/>
      <c r="LE285" s="21"/>
      <c r="LF285" s="21"/>
      <c r="LG285" s="21"/>
      <c r="LH285" s="21"/>
      <c r="LI285" s="168">
        <v>3973525</v>
      </c>
      <c r="LJ285" s="168">
        <v>8866797</v>
      </c>
      <c r="LK285" s="168">
        <v>7675474</v>
      </c>
      <c r="LL285" s="168">
        <v>784392</v>
      </c>
      <c r="LM285" s="168">
        <v>1104695</v>
      </c>
      <c r="LN285" s="168">
        <v>369085</v>
      </c>
      <c r="LO285" s="21"/>
      <c r="LP285" s="21"/>
      <c r="LQ285" s="21"/>
      <c r="LR285" s="21"/>
      <c r="LS285" s="21"/>
      <c r="LT285" s="21"/>
      <c r="LU285" s="21"/>
      <c r="LV285" s="21"/>
      <c r="LW285" s="21"/>
      <c r="LX285" s="21"/>
      <c r="LY285" s="21"/>
      <c r="LZ285" s="21"/>
      <c r="MA285" s="21"/>
      <c r="MB285" s="21"/>
      <c r="MC285" s="168">
        <v>22477517</v>
      </c>
      <c r="MD285" s="168">
        <v>25156918</v>
      </c>
      <c r="ME285" s="21"/>
      <c r="MF285" s="21"/>
      <c r="MG285" s="21"/>
      <c r="MH285" s="21"/>
      <c r="MI285" s="21"/>
      <c r="MJ285" s="21"/>
      <c r="MK285" s="21"/>
      <c r="ML285" s="21"/>
      <c r="MM285" s="21"/>
      <c r="MN285" s="21"/>
      <c r="MO285" s="21"/>
      <c r="MP285" s="21"/>
      <c r="MQ285" s="21"/>
      <c r="MR285" s="21"/>
      <c r="MS285" s="21"/>
      <c r="MT285" s="21"/>
      <c r="MU285" s="21"/>
      <c r="MV285" s="21"/>
      <c r="MW285" s="21"/>
      <c r="MX285" s="21"/>
      <c r="MY285" s="21"/>
      <c r="MZ285" s="21"/>
      <c r="NA285" s="21"/>
      <c r="NB285" s="21"/>
      <c r="NC285" s="168">
        <v>2557284</v>
      </c>
      <c r="ND285" s="168">
        <v>2338349</v>
      </c>
      <c r="NE285" s="21"/>
      <c r="NF285" s="21"/>
      <c r="NG285" s="168">
        <v>15998974</v>
      </c>
      <c r="NH285" s="168">
        <v>13786655</v>
      </c>
      <c r="NI285" s="21"/>
      <c r="NJ285" s="21"/>
      <c r="NK285" s="168">
        <v>9398</v>
      </c>
      <c r="NL285" s="168">
        <v>9023</v>
      </c>
      <c r="NM285" s="168">
        <v>35971354</v>
      </c>
      <c r="NN285" s="168">
        <v>35827111</v>
      </c>
      <c r="NO285" s="168">
        <v>52196909</v>
      </c>
      <c r="NP285" s="168">
        <v>52826350</v>
      </c>
      <c r="NQ285" s="168" t="s">
        <v>1525</v>
      </c>
      <c r="NR285" s="168" t="s">
        <v>823</v>
      </c>
      <c r="NS285" s="168" t="s">
        <v>770</v>
      </c>
      <c r="NT285" s="168" t="s">
        <v>771</v>
      </c>
      <c r="NU285" s="168">
        <v>1402</v>
      </c>
      <c r="NV285" s="168" t="s">
        <v>2104</v>
      </c>
      <c r="NW285" s="168" t="s">
        <v>28</v>
      </c>
      <c r="NX285" s="168" t="s">
        <v>25</v>
      </c>
      <c r="NY285" s="169">
        <v>42766</v>
      </c>
      <c r="NZ285" s="169">
        <v>42400</v>
      </c>
      <c r="OA285" s="169">
        <v>43053</v>
      </c>
      <c r="OB285" s="168" t="s">
        <v>1526</v>
      </c>
      <c r="OC285" s="168">
        <v>12</v>
      </c>
      <c r="OD285" s="168" t="s">
        <v>2105</v>
      </c>
      <c r="OE285" s="168" t="s">
        <v>2477</v>
      </c>
      <c r="OF285" s="168" t="s">
        <v>2608</v>
      </c>
      <c r="OG285" s="168" t="s">
        <v>2067</v>
      </c>
      <c r="OH285" s="168" t="s">
        <v>955</v>
      </c>
      <c r="OI285" s="168" t="s">
        <v>766</v>
      </c>
      <c r="OJ285" s="168" t="s">
        <v>3240</v>
      </c>
      <c r="OK285" s="168" t="s">
        <v>822</v>
      </c>
    </row>
    <row r="286" spans="1:401" x14ac:dyDescent="0.2">
      <c r="A286" s="170" t="str">
        <f>Liste[[#This Row],[Siren]]</f>
        <v>494068968</v>
      </c>
      <c r="B286" s="198" t="str">
        <f>Liste[[#This Row],[Dénomination]]&amp;" - comptes "&amp;YEAR(Liste[[#This Row],[Date de cloture de l''exercice]])</f>
        <v>SFT - comptes 2017</v>
      </c>
      <c r="C286" s="21"/>
      <c r="D286" s="21"/>
      <c r="E286" s="21"/>
      <c r="F286" s="168">
        <v>5075099</v>
      </c>
      <c r="G286" s="168">
        <v>6332643</v>
      </c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168">
        <v>1328139</v>
      </c>
      <c r="BE286" s="168">
        <v>1325833</v>
      </c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168">
        <v>1575424</v>
      </c>
      <c r="BY286" s="168">
        <v>1965827</v>
      </c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1"/>
      <c r="CK286" s="21"/>
      <c r="CL286" s="21"/>
      <c r="CM286" s="21"/>
      <c r="CN286" s="21"/>
      <c r="CO286" s="21"/>
      <c r="CP286" s="21"/>
      <c r="CQ286" s="21"/>
      <c r="CR286" s="21"/>
      <c r="CS286" s="21"/>
      <c r="CT286" s="21"/>
      <c r="CU286" s="21"/>
      <c r="CV286" s="21"/>
      <c r="CW286" s="21"/>
      <c r="CX286" s="21"/>
      <c r="CY286" s="21"/>
      <c r="CZ286" s="21"/>
      <c r="DA286" s="21"/>
      <c r="DB286" s="21"/>
      <c r="DC286" s="21"/>
      <c r="DD286" s="21"/>
      <c r="DE286" s="21"/>
      <c r="DF286" s="21"/>
      <c r="DG286" s="21"/>
      <c r="DH286" s="21"/>
      <c r="DI286" s="21"/>
      <c r="DJ286" s="21"/>
      <c r="DK286" s="21"/>
      <c r="DL286" s="21"/>
      <c r="DM286" s="21"/>
      <c r="DN286" s="21"/>
      <c r="DO286" s="21"/>
      <c r="DP286" s="21"/>
      <c r="DQ286" s="21"/>
      <c r="DR286" s="21"/>
      <c r="DS286" s="21"/>
      <c r="DT286" s="21"/>
      <c r="DU286" s="21"/>
      <c r="DV286" s="21"/>
      <c r="DW286" s="21"/>
      <c r="DX286" s="21"/>
      <c r="DY286" s="21"/>
      <c r="DZ286" s="21"/>
      <c r="EA286" s="21"/>
      <c r="EB286" s="21"/>
      <c r="EC286" s="21"/>
      <c r="ED286" s="21"/>
      <c r="EE286" s="21"/>
      <c r="EF286" s="21"/>
      <c r="EG286" s="21"/>
      <c r="EH286" s="21"/>
      <c r="EI286" s="21"/>
      <c r="EJ286" s="21"/>
      <c r="EK286" s="21"/>
      <c r="EL286" s="168">
        <v>51645244</v>
      </c>
      <c r="EM286" s="168">
        <v>48373520</v>
      </c>
      <c r="EN286" s="21"/>
      <c r="EO286" s="21"/>
      <c r="EP286" s="168">
        <v>32769707</v>
      </c>
      <c r="EQ286" s="168">
        <v>36821155</v>
      </c>
      <c r="ER286" s="21"/>
      <c r="ES286" s="21"/>
      <c r="ET286" s="168">
        <v>85257430</v>
      </c>
      <c r="EU286" s="168">
        <v>86047624</v>
      </c>
      <c r="EV286" s="21"/>
      <c r="EW286" s="21"/>
      <c r="EX286" s="21"/>
      <c r="EY286" s="21"/>
      <c r="EZ286" s="21"/>
      <c r="FA286" s="21"/>
      <c r="FB286" s="21"/>
      <c r="FC286" s="21"/>
      <c r="FD286" s="21"/>
      <c r="FE286" s="21"/>
      <c r="FF286" s="168">
        <v>14169724</v>
      </c>
      <c r="FG286" s="168">
        <v>18555863</v>
      </c>
      <c r="FH286" s="21"/>
      <c r="FI286" s="168">
        <v>-136721</v>
      </c>
      <c r="FJ286" s="168">
        <v>270237</v>
      </c>
      <c r="FK286" s="21"/>
      <c r="FL286" s="21"/>
      <c r="FM286" s="21"/>
      <c r="FN286" s="21"/>
      <c r="FO286" s="21"/>
      <c r="FP286" s="21"/>
      <c r="FQ286" s="21"/>
      <c r="FR286" s="21"/>
      <c r="FS286" s="21"/>
      <c r="FT286" s="21"/>
      <c r="FU286" s="21"/>
      <c r="FV286" s="21"/>
      <c r="FW286" s="21"/>
      <c r="FX286" s="21"/>
      <c r="FY286" s="168">
        <v>98167</v>
      </c>
      <c r="FZ286" s="168">
        <v>93235</v>
      </c>
      <c r="GA286" s="21"/>
      <c r="GB286" s="21"/>
      <c r="GC286" s="21"/>
      <c r="GD286" s="21"/>
      <c r="GE286" s="21"/>
      <c r="GF286" s="21"/>
      <c r="GG286" s="21"/>
      <c r="GH286" s="21"/>
      <c r="GI286" s="21"/>
      <c r="GJ286" s="21"/>
      <c r="GK286" s="21"/>
      <c r="GL286" s="21"/>
      <c r="GM286" s="168">
        <v>2811805</v>
      </c>
      <c r="GN286" s="168">
        <v>2297110</v>
      </c>
      <c r="GO286" s="168">
        <v>2909871</v>
      </c>
      <c r="GP286" s="168">
        <v>2390346</v>
      </c>
      <c r="GQ286" s="21"/>
      <c r="GR286" s="21"/>
      <c r="GS286" s="21"/>
      <c r="GT286" s="21"/>
      <c r="GU286" s="168">
        <v>381467</v>
      </c>
      <c r="GV286" s="168">
        <v>62036</v>
      </c>
      <c r="GW286" s="168">
        <v>244746</v>
      </c>
      <c r="GX286" s="168">
        <v>332273</v>
      </c>
      <c r="GY286" s="21"/>
      <c r="GZ286" s="21"/>
      <c r="HA286" s="21"/>
      <c r="HB286" s="21"/>
      <c r="HC286" s="168">
        <v>10092650</v>
      </c>
      <c r="HD286" s="168">
        <v>11028935</v>
      </c>
      <c r="HE286" s="168">
        <v>2033993</v>
      </c>
      <c r="HF286" s="168">
        <v>2332757</v>
      </c>
      <c r="HG286" s="21"/>
      <c r="HH286" s="21"/>
      <c r="HI286" s="168">
        <v>1181717</v>
      </c>
      <c r="HJ286" s="168">
        <v>1206066</v>
      </c>
      <c r="HK286" s="21"/>
      <c r="HL286" s="21"/>
      <c r="HM286" s="21"/>
      <c r="HN286" s="21"/>
      <c r="HO286" s="21"/>
      <c r="HP286" s="21"/>
      <c r="HQ286" s="21"/>
      <c r="HR286" s="21"/>
      <c r="HS286" s="21"/>
      <c r="HT286" s="21"/>
      <c r="HU286" s="168">
        <v>2791921</v>
      </c>
      <c r="HV286" s="168">
        <v>2100424</v>
      </c>
      <c r="HW286" s="21"/>
      <c r="HX286" s="21"/>
      <c r="HY286" s="168">
        <v>159848</v>
      </c>
      <c r="HZ286" s="168">
        <v>113216</v>
      </c>
      <c r="IA286" s="21"/>
      <c r="IB286" s="21"/>
      <c r="IC286" s="21"/>
      <c r="ID286" s="21"/>
      <c r="IE286" s="168">
        <v>2222513</v>
      </c>
      <c r="IF286" s="168">
        <v>2063982</v>
      </c>
      <c r="IG286" s="21"/>
      <c r="IH286" s="21"/>
      <c r="II286" s="21"/>
      <c r="IJ286" s="21"/>
      <c r="IK286" s="21"/>
      <c r="IL286" s="21"/>
      <c r="IM286" s="21"/>
      <c r="IN286" s="168">
        <v>-536511</v>
      </c>
      <c r="IO286" s="21"/>
      <c r="IP286" s="21"/>
      <c r="IQ286" s="21"/>
      <c r="IR286" s="21"/>
      <c r="IS286" s="21"/>
      <c r="IT286" s="21"/>
      <c r="IU286" s="168">
        <v>3424194</v>
      </c>
      <c r="IV286" s="168">
        <v>3659324</v>
      </c>
      <c r="IW286" s="168">
        <v>3209826</v>
      </c>
      <c r="IX286" s="168">
        <v>3468816</v>
      </c>
      <c r="IY286" s="168">
        <v>214368</v>
      </c>
      <c r="IZ286" s="168">
        <v>190506</v>
      </c>
      <c r="JA286" s="168">
        <v>1449706</v>
      </c>
      <c r="JB286" s="168">
        <v>1515631</v>
      </c>
      <c r="JC286" s="21"/>
      <c r="JD286" s="21"/>
      <c r="JE286" s="168">
        <v>15822829</v>
      </c>
      <c r="JF286" s="168">
        <v>10001792</v>
      </c>
      <c r="JG286" s="168">
        <v>16260</v>
      </c>
      <c r="JH286" s="168">
        <v>31401</v>
      </c>
      <c r="JI286" s="168">
        <v>133017267</v>
      </c>
      <c r="JJ286" s="168">
        <v>136662675</v>
      </c>
      <c r="JK286" s="168">
        <v>208509</v>
      </c>
      <c r="JL286" s="168">
        <v>192913</v>
      </c>
      <c r="JM286" s="168">
        <v>2647683</v>
      </c>
      <c r="JN286" s="168">
        <v>2217387</v>
      </c>
      <c r="JO286" s="168">
        <v>422877</v>
      </c>
      <c r="JP286" s="168">
        <v>383421</v>
      </c>
      <c r="JQ286" s="21"/>
      <c r="JR286" s="21"/>
      <c r="JS286" s="21"/>
      <c r="JT286" s="21"/>
      <c r="JU286" s="21"/>
      <c r="JV286" s="21"/>
      <c r="JW286" s="168">
        <v>134379410</v>
      </c>
      <c r="JX286" s="168">
        <v>137314104</v>
      </c>
      <c r="JY286" s="21"/>
      <c r="JZ286" s="21"/>
      <c r="KA286" s="21"/>
      <c r="KB286" s="21"/>
      <c r="KC286" s="21"/>
      <c r="KD286" s="21"/>
      <c r="KE286" s="21"/>
      <c r="KF286" s="21"/>
      <c r="KG286" s="21"/>
      <c r="KH286" s="21"/>
      <c r="KI286" s="168">
        <v>115783831</v>
      </c>
      <c r="KJ286" s="168">
        <v>110022337</v>
      </c>
      <c r="KK286" s="21"/>
      <c r="KL286" s="21"/>
      <c r="KM286" s="21"/>
      <c r="KN286" s="21"/>
      <c r="KO286" s="21"/>
      <c r="KP286" s="21"/>
      <c r="KQ286" s="168">
        <v>1197987</v>
      </c>
      <c r="KR286" s="168">
        <v>1015556</v>
      </c>
      <c r="KS286" s="21"/>
      <c r="KT286" s="21"/>
      <c r="KU286" s="21"/>
      <c r="KV286" s="21"/>
      <c r="KW286" s="21"/>
      <c r="KX286" s="21"/>
      <c r="KY286" s="21"/>
      <c r="KZ286" s="21"/>
      <c r="LA286" s="168">
        <v>30862000</v>
      </c>
      <c r="LB286" s="168">
        <v>30862000</v>
      </c>
      <c r="LC286" s="21"/>
      <c r="LD286" s="21"/>
      <c r="LE286" s="21"/>
      <c r="LF286" s="21"/>
      <c r="LG286" s="21"/>
      <c r="LH286" s="21"/>
      <c r="LI286" s="168">
        <v>5745937</v>
      </c>
      <c r="LJ286" s="168">
        <v>8073189</v>
      </c>
      <c r="LK286" s="168">
        <v>8861647</v>
      </c>
      <c r="LL286" s="168">
        <v>10548812</v>
      </c>
      <c r="LM286" s="168">
        <v>1529184</v>
      </c>
      <c r="LN286" s="168">
        <v>654476</v>
      </c>
      <c r="LO286" s="21"/>
      <c r="LP286" s="21"/>
      <c r="LQ286" s="21"/>
      <c r="LR286" s="21"/>
      <c r="LS286" s="21"/>
      <c r="LT286" s="21"/>
      <c r="LU286" s="21"/>
      <c r="LV286" s="21"/>
      <c r="LW286" s="21"/>
      <c r="LX286" s="21"/>
      <c r="LY286" s="21"/>
      <c r="LZ286" s="21"/>
      <c r="MA286" s="21"/>
      <c r="MB286" s="21"/>
      <c r="MC286" s="168">
        <v>12081083</v>
      </c>
      <c r="MD286" s="168">
        <v>12010061</v>
      </c>
      <c r="ME286" s="21"/>
      <c r="MF286" s="21"/>
      <c r="MG286" s="21"/>
      <c r="MH286" s="21"/>
      <c r="MI286" s="21"/>
      <c r="MJ286" s="21"/>
      <c r="MK286" s="21"/>
      <c r="ML286" s="21"/>
      <c r="MM286" s="21"/>
      <c r="MN286" s="21"/>
      <c r="MO286" s="21"/>
      <c r="MP286" s="21"/>
      <c r="MQ286" s="21"/>
      <c r="MR286" s="21"/>
      <c r="MS286" s="21"/>
      <c r="MT286" s="21"/>
      <c r="MU286" s="21"/>
      <c r="MV286" s="21"/>
      <c r="MW286" s="21"/>
      <c r="MX286" s="21"/>
      <c r="MY286" s="21"/>
      <c r="MZ286" s="21"/>
      <c r="NA286" s="21"/>
      <c r="NB286" s="21"/>
      <c r="NC286" s="168">
        <v>2811805</v>
      </c>
      <c r="ND286" s="168">
        <v>2297110</v>
      </c>
      <c r="NE286" s="21"/>
      <c r="NF286" s="21"/>
      <c r="NG286" s="168">
        <v>50648391</v>
      </c>
      <c r="NH286" s="168">
        <v>49712820</v>
      </c>
      <c r="NI286" s="21"/>
      <c r="NJ286" s="21"/>
      <c r="NK286" s="168">
        <v>2409621</v>
      </c>
      <c r="NL286" s="168">
        <v>2436546</v>
      </c>
      <c r="NM286" s="168">
        <v>29415838</v>
      </c>
      <c r="NN286" s="168">
        <v>30602114</v>
      </c>
      <c r="NO286" s="168">
        <v>-85257430</v>
      </c>
      <c r="NP286" s="168">
        <v>86047624</v>
      </c>
      <c r="NQ286" s="168" t="s">
        <v>836</v>
      </c>
      <c r="NR286" s="168" t="s">
        <v>769</v>
      </c>
      <c r="NS286" s="168" t="s">
        <v>770</v>
      </c>
      <c r="NT286" s="168" t="s">
        <v>771</v>
      </c>
      <c r="NU286" s="168">
        <v>7501</v>
      </c>
      <c r="NV286" s="168" t="s">
        <v>2104</v>
      </c>
      <c r="NW286" s="168" t="s">
        <v>28</v>
      </c>
      <c r="NX286" s="168" t="s">
        <v>25</v>
      </c>
      <c r="NY286" s="169">
        <v>42766</v>
      </c>
      <c r="NZ286" s="169">
        <v>42400</v>
      </c>
      <c r="OA286" s="169">
        <v>43068</v>
      </c>
      <c r="OB286" s="168" t="s">
        <v>1578</v>
      </c>
      <c r="OC286" s="168">
        <v>12</v>
      </c>
      <c r="OD286" s="168" t="s">
        <v>2105</v>
      </c>
      <c r="OE286" s="168" t="s">
        <v>2654</v>
      </c>
      <c r="OF286" s="168" t="s">
        <v>2655</v>
      </c>
      <c r="OG286" s="168" t="s">
        <v>2100</v>
      </c>
      <c r="OH286" s="168" t="s">
        <v>765</v>
      </c>
      <c r="OI286" s="168" t="s">
        <v>766</v>
      </c>
      <c r="OJ286" s="168" t="s">
        <v>3240</v>
      </c>
      <c r="OK286" s="168" t="s">
        <v>767</v>
      </c>
    </row>
    <row r="287" spans="1:401" x14ac:dyDescent="0.2">
      <c r="A287" s="170" t="str">
        <f>Liste[[#This Row],[Siren]]</f>
        <v>392072369</v>
      </c>
      <c r="B287" s="198" t="str">
        <f>Liste[[#This Row],[Dénomination]]&amp;" - comptes "&amp;YEAR(Liste[[#This Row],[Date de cloture de l''exercice]])</f>
        <v>SOFIDIS - comptes 2017</v>
      </c>
      <c r="C287" s="21"/>
      <c r="D287" s="21"/>
      <c r="E287" s="21"/>
      <c r="F287" s="168">
        <v>7289568</v>
      </c>
      <c r="G287" s="168">
        <v>5457597</v>
      </c>
      <c r="H287" s="168">
        <v>7289568</v>
      </c>
      <c r="I287" s="168">
        <v>4512781</v>
      </c>
      <c r="J287" s="168">
        <v>1804938</v>
      </c>
      <c r="K287" s="168">
        <v>1981875</v>
      </c>
      <c r="L287" s="168">
        <v>6317719</v>
      </c>
      <c r="M287" s="21"/>
      <c r="N287" s="168">
        <v>30</v>
      </c>
      <c r="O287" s="168">
        <v>209908</v>
      </c>
      <c r="P287" s="168">
        <v>30</v>
      </c>
      <c r="Q287" s="21"/>
      <c r="R287" s="21"/>
      <c r="S287" s="21"/>
      <c r="T287" s="21"/>
      <c r="U287" s="21"/>
      <c r="V287" s="21"/>
      <c r="W287" s="21"/>
      <c r="X287" s="21"/>
      <c r="Y287" s="21"/>
      <c r="Z287" s="168">
        <v>2933128</v>
      </c>
      <c r="AA287" s="168">
        <v>2916913</v>
      </c>
      <c r="AB287" s="168">
        <v>2933128</v>
      </c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168">
        <v>475575</v>
      </c>
      <c r="BA287" s="168">
        <v>811363</v>
      </c>
      <c r="BB287" s="168">
        <v>475575</v>
      </c>
      <c r="BC287" s="168">
        <v>128339</v>
      </c>
      <c r="BD287" s="168">
        <v>640233</v>
      </c>
      <c r="BE287" s="168">
        <v>991013</v>
      </c>
      <c r="BF287" s="168">
        <v>768572</v>
      </c>
      <c r="BG287" s="168">
        <v>40331</v>
      </c>
      <c r="BH287" s="168">
        <v>1891</v>
      </c>
      <c r="BI287" s="168">
        <v>3865</v>
      </c>
      <c r="BJ287" s="168">
        <v>42222</v>
      </c>
      <c r="BK287" s="168">
        <v>23634708</v>
      </c>
      <c r="BL287" s="168">
        <v>19237777</v>
      </c>
      <c r="BM287" s="168">
        <v>21473820</v>
      </c>
      <c r="BN287" s="168">
        <v>42872485</v>
      </c>
      <c r="BO287" s="21"/>
      <c r="BP287" s="21"/>
      <c r="BQ287" s="21"/>
      <c r="BR287" s="21"/>
      <c r="BS287" s="21"/>
      <c r="BT287" s="21"/>
      <c r="BU287" s="21"/>
      <c r="BV287" s="21"/>
      <c r="BW287" s="21"/>
      <c r="BX287" s="168">
        <v>50326824</v>
      </c>
      <c r="BY287" s="168">
        <v>46144246</v>
      </c>
      <c r="BZ287" s="168">
        <v>50326824</v>
      </c>
      <c r="CA287" s="21"/>
      <c r="CB287" s="168">
        <v>1</v>
      </c>
      <c r="CC287" s="21"/>
      <c r="CD287" s="168">
        <v>2647397</v>
      </c>
      <c r="CE287" s="168">
        <v>11250760</v>
      </c>
      <c r="CF287" s="168">
        <v>278676</v>
      </c>
      <c r="CG287" s="168">
        <v>13898157</v>
      </c>
      <c r="CH287" s="21"/>
      <c r="CI287" s="21"/>
      <c r="CJ287" s="21"/>
      <c r="CK287" s="21"/>
      <c r="CL287" s="21"/>
      <c r="CM287" s="21"/>
      <c r="CN287" s="21"/>
      <c r="CO287" s="21"/>
      <c r="CP287" s="21"/>
      <c r="CQ287" s="168">
        <v>218602</v>
      </c>
      <c r="CR287" s="168">
        <v>11350033</v>
      </c>
      <c r="CS287" s="168">
        <v>218602</v>
      </c>
      <c r="CT287" s="21"/>
      <c r="CU287" s="21"/>
      <c r="CV287" s="21"/>
      <c r="CW287" s="21"/>
      <c r="CX287" s="21"/>
      <c r="CY287" s="21"/>
      <c r="CZ287" s="21"/>
      <c r="DA287" s="21"/>
      <c r="DB287" s="21"/>
      <c r="DC287" s="168">
        <v>100380</v>
      </c>
      <c r="DD287" s="21"/>
      <c r="DE287" s="168">
        <v>100380</v>
      </c>
      <c r="DF287" s="168">
        <v>6535739</v>
      </c>
      <c r="DG287" s="168">
        <v>1035013</v>
      </c>
      <c r="DH287" s="168">
        <v>992229</v>
      </c>
      <c r="DI287" s="168">
        <v>7570752</v>
      </c>
      <c r="DJ287" s="21"/>
      <c r="DK287" s="168">
        <v>10331544</v>
      </c>
      <c r="DL287" s="168">
        <v>9777776</v>
      </c>
      <c r="DM287" s="168">
        <v>10331544</v>
      </c>
      <c r="DN287" s="21"/>
      <c r="DO287" s="168">
        <v>69816</v>
      </c>
      <c r="DP287" s="168">
        <v>61040</v>
      </c>
      <c r="DQ287" s="168">
        <v>69816</v>
      </c>
      <c r="DR287" s="21"/>
      <c r="DS287" s="21"/>
      <c r="DT287" s="21"/>
      <c r="DU287" s="21"/>
      <c r="DV287" s="21"/>
      <c r="DW287" s="168">
        <v>112072</v>
      </c>
      <c r="DX287" s="168">
        <v>112072</v>
      </c>
      <c r="DY287" s="168">
        <v>112072</v>
      </c>
      <c r="DZ287" s="21"/>
      <c r="EA287" s="21"/>
      <c r="EB287" s="21"/>
      <c r="EC287" s="21"/>
      <c r="ED287" s="21"/>
      <c r="EE287" s="21"/>
      <c r="EF287" s="21"/>
      <c r="EG287" s="21"/>
      <c r="EH287" s="21"/>
      <c r="EI287" s="21"/>
      <c r="EJ287" s="21"/>
      <c r="EK287" s="168">
        <v>37370956</v>
      </c>
      <c r="EL287" s="168">
        <v>39938607</v>
      </c>
      <c r="EM287" s="168">
        <v>42563407</v>
      </c>
      <c r="EN287" s="168">
        <v>77309563</v>
      </c>
      <c r="EO287" s="168">
        <v>128339</v>
      </c>
      <c r="EP287" s="168">
        <v>80733560</v>
      </c>
      <c r="EQ287" s="168">
        <v>78207435</v>
      </c>
      <c r="ER287" s="168">
        <v>80861899</v>
      </c>
      <c r="ES287" s="168">
        <v>37499295</v>
      </c>
      <c r="ET287" s="168">
        <v>120672167</v>
      </c>
      <c r="EU287" s="168">
        <v>120770843</v>
      </c>
      <c r="EV287" s="168">
        <v>158171462</v>
      </c>
      <c r="EW287" s="21"/>
      <c r="EX287" s="168">
        <v>3244016</v>
      </c>
      <c r="EY287" s="168">
        <v>3244016</v>
      </c>
      <c r="EZ287" s="168">
        <v>3244016</v>
      </c>
      <c r="FA287" s="21"/>
      <c r="FB287" s="21"/>
      <c r="FC287" s="21"/>
      <c r="FD287" s="21"/>
      <c r="FE287" s="21"/>
      <c r="FF287" s="168">
        <v>11600000</v>
      </c>
      <c r="FG287" s="168">
        <v>14964400</v>
      </c>
      <c r="FH287" s="168">
        <v>11600000</v>
      </c>
      <c r="FI287" s="168">
        <v>-48027</v>
      </c>
      <c r="FJ287" s="168">
        <v>-264015</v>
      </c>
      <c r="FK287" s="21"/>
      <c r="FL287" s="21"/>
      <c r="FM287" s="21"/>
      <c r="FN287" s="21"/>
      <c r="FO287" s="21"/>
      <c r="FP287" s="21"/>
      <c r="FQ287" s="168">
        <v>139337</v>
      </c>
      <c r="FR287" s="168">
        <v>139337</v>
      </c>
      <c r="FS287" s="21"/>
      <c r="FT287" s="21"/>
      <c r="FU287" s="168">
        <v>-116937</v>
      </c>
      <c r="FV287" s="168">
        <v>-21133</v>
      </c>
      <c r="FW287" s="168">
        <v>2434431</v>
      </c>
      <c r="FX287" s="168">
        <v>2127900</v>
      </c>
      <c r="FY287" s="168">
        <v>101542</v>
      </c>
      <c r="FZ287" s="168">
        <v>97780</v>
      </c>
      <c r="GA287" s="21"/>
      <c r="GB287" s="21"/>
      <c r="GC287" s="21"/>
      <c r="GD287" s="21"/>
      <c r="GE287" s="21"/>
      <c r="GF287" s="21"/>
      <c r="GG287" s="21"/>
      <c r="GH287" s="21"/>
      <c r="GI287" s="21"/>
      <c r="GJ287" s="21"/>
      <c r="GK287" s="21"/>
      <c r="GL287" s="21"/>
      <c r="GM287" s="168">
        <v>5506217</v>
      </c>
      <c r="GN287" s="168">
        <v>5036939</v>
      </c>
      <c r="GO287" s="168">
        <v>5645554</v>
      </c>
      <c r="GP287" s="168">
        <v>5176276</v>
      </c>
      <c r="GQ287" s="21"/>
      <c r="GR287" s="21"/>
      <c r="GS287" s="168">
        <v>5404675</v>
      </c>
      <c r="GT287" s="168">
        <v>4939159</v>
      </c>
      <c r="GU287" s="168">
        <v>495083</v>
      </c>
      <c r="GV287" s="168">
        <v>880215</v>
      </c>
      <c r="GW287" s="168">
        <v>447056</v>
      </c>
      <c r="GX287" s="168">
        <v>616200</v>
      </c>
      <c r="GY287" s="168">
        <v>118848098</v>
      </c>
      <c r="GZ287" s="168">
        <v>122944098</v>
      </c>
      <c r="HA287" s="21"/>
      <c r="HB287" s="21"/>
      <c r="HC287" s="168">
        <v>6224057</v>
      </c>
      <c r="HD287" s="168">
        <v>6619256</v>
      </c>
      <c r="HE287" s="168">
        <v>987003</v>
      </c>
      <c r="HF287" s="168">
        <v>1008643</v>
      </c>
      <c r="HG287" s="21"/>
      <c r="HH287" s="21"/>
      <c r="HI287" s="168">
        <v>1284688</v>
      </c>
      <c r="HJ287" s="168">
        <v>1652083</v>
      </c>
      <c r="HK287" s="21"/>
      <c r="HL287" s="21"/>
      <c r="HM287" s="21"/>
      <c r="HN287" s="21"/>
      <c r="HO287" s="168">
        <v>3450428</v>
      </c>
      <c r="HP287" s="168">
        <v>3349914</v>
      </c>
      <c r="HQ287" s="21"/>
      <c r="HR287" s="21"/>
      <c r="HS287" s="21"/>
      <c r="HT287" s="21"/>
      <c r="HU287" s="168">
        <v>3254769</v>
      </c>
      <c r="HV287" s="168">
        <v>3253365</v>
      </c>
      <c r="HW287" s="168">
        <v>30474</v>
      </c>
      <c r="HX287" s="168">
        <v>11606</v>
      </c>
      <c r="HY287" s="21"/>
      <c r="HZ287" s="21"/>
      <c r="IA287" s="21"/>
      <c r="IB287" s="21"/>
      <c r="IC287" s="21"/>
      <c r="ID287" s="21"/>
      <c r="IE287" s="168">
        <v>2752432</v>
      </c>
      <c r="IF287" s="168">
        <v>2745054</v>
      </c>
      <c r="IG287" s="21"/>
      <c r="IH287" s="21"/>
      <c r="II287" s="21"/>
      <c r="IJ287" s="21"/>
      <c r="IK287" s="21"/>
      <c r="IL287" s="21"/>
      <c r="IM287" s="21"/>
      <c r="IN287" s="21"/>
      <c r="IO287" s="21"/>
      <c r="IP287" s="21"/>
      <c r="IQ287" s="21"/>
      <c r="IR287" s="21"/>
      <c r="IS287" s="21"/>
      <c r="IT287" s="21"/>
      <c r="IU287" s="168">
        <v>8011075</v>
      </c>
      <c r="IV287" s="168">
        <v>7547058</v>
      </c>
      <c r="IW287" s="168">
        <v>7181461</v>
      </c>
      <c r="IX287" s="168">
        <v>6926879</v>
      </c>
      <c r="IY287" s="168">
        <v>829614</v>
      </c>
      <c r="IZ287" s="168">
        <v>620179</v>
      </c>
      <c r="JA287" s="168">
        <v>37198</v>
      </c>
      <c r="JB287" s="168">
        <v>27752</v>
      </c>
      <c r="JC287" s="21"/>
      <c r="JD287" s="21"/>
      <c r="JE287" s="168">
        <v>8951639</v>
      </c>
      <c r="JF287" s="168">
        <v>8472862</v>
      </c>
      <c r="JG287" s="21"/>
      <c r="JH287" s="21"/>
      <c r="JI287" s="168">
        <v>138109953</v>
      </c>
      <c r="JJ287" s="168">
        <v>143774677</v>
      </c>
      <c r="JK287" s="168">
        <v>82326</v>
      </c>
      <c r="JL287" s="168">
        <v>303657</v>
      </c>
      <c r="JM287" s="168">
        <v>145291414</v>
      </c>
      <c r="JN287" s="168">
        <v>150701556</v>
      </c>
      <c r="JO287" s="168">
        <v>911940</v>
      </c>
      <c r="JP287" s="168">
        <v>923836</v>
      </c>
      <c r="JQ287" s="168">
        <v>-553768</v>
      </c>
      <c r="JR287" s="168">
        <v>-583383</v>
      </c>
      <c r="JS287" s="21"/>
      <c r="JT287" s="21"/>
      <c r="JU287" s="21"/>
      <c r="JV287" s="21"/>
      <c r="JW287" s="168">
        <v>148790202</v>
      </c>
      <c r="JX287" s="168">
        <v>154029759</v>
      </c>
      <c r="JY287" s="21"/>
      <c r="JZ287" s="21"/>
      <c r="KA287" s="21"/>
      <c r="KB287" s="21"/>
      <c r="KC287" s="21"/>
      <c r="KD287" s="21"/>
      <c r="KE287" s="21"/>
      <c r="KF287" s="21"/>
      <c r="KG287" s="21"/>
      <c r="KH287" s="21"/>
      <c r="KI287" s="168">
        <v>148790202</v>
      </c>
      <c r="KJ287" s="168">
        <v>154029759</v>
      </c>
      <c r="KK287" s="168">
        <v>1</v>
      </c>
      <c r="KL287" s="168">
        <v>2</v>
      </c>
      <c r="KM287" s="21"/>
      <c r="KN287" s="21"/>
      <c r="KO287" s="21"/>
      <c r="KP287" s="21"/>
      <c r="KQ287" s="168">
        <v>1581946</v>
      </c>
      <c r="KR287" s="168">
        <v>1566868</v>
      </c>
      <c r="KS287" s="21"/>
      <c r="KT287" s="21"/>
      <c r="KU287" s="168">
        <v>7656137</v>
      </c>
      <c r="KV287" s="168">
        <v>7274168</v>
      </c>
      <c r="KW287" s="21"/>
      <c r="KX287" s="21"/>
      <c r="KY287" s="21"/>
      <c r="KZ287" s="21"/>
      <c r="LA287" s="168">
        <v>21822323</v>
      </c>
      <c r="LB287" s="168">
        <v>21822323</v>
      </c>
      <c r="LC287" s="21"/>
      <c r="LD287" s="21"/>
      <c r="LE287" s="168">
        <v>101542</v>
      </c>
      <c r="LF287" s="168">
        <v>97780</v>
      </c>
      <c r="LG287" s="21"/>
      <c r="LH287" s="21"/>
      <c r="LI287" s="168">
        <v>5001198</v>
      </c>
      <c r="LJ287" s="168">
        <v>4588028</v>
      </c>
      <c r="LK287" s="168">
        <v>13672827</v>
      </c>
      <c r="LL287" s="168">
        <v>13903403</v>
      </c>
      <c r="LM287" s="168">
        <v>13309</v>
      </c>
      <c r="LN287" s="168">
        <v>7433</v>
      </c>
      <c r="LO287" s="21"/>
      <c r="LP287" s="21"/>
      <c r="LQ287" s="21"/>
      <c r="LR287" s="21"/>
      <c r="LS287" s="21"/>
      <c r="LT287" s="21"/>
      <c r="LU287" s="21"/>
      <c r="LV287" s="21"/>
      <c r="LW287" s="21"/>
      <c r="LX287" s="21"/>
      <c r="LY287" s="21"/>
      <c r="LZ287" s="21"/>
      <c r="MA287" s="168">
        <v>14000073</v>
      </c>
      <c r="MB287" s="168">
        <v>18883254</v>
      </c>
      <c r="MC287" s="168">
        <v>1822475</v>
      </c>
      <c r="MD287" s="168">
        <v>2110027</v>
      </c>
      <c r="ME287" s="21"/>
      <c r="MF287" s="21"/>
      <c r="MG287" s="168">
        <v>832361</v>
      </c>
      <c r="MH287" s="168">
        <v>850120</v>
      </c>
      <c r="MI287" s="21"/>
      <c r="MJ287" s="21"/>
      <c r="MK287" s="21"/>
      <c r="ML287" s="21"/>
      <c r="MM287" s="168">
        <v>1041621</v>
      </c>
      <c r="MN287" s="168">
        <v>1481017</v>
      </c>
      <c r="MO287" s="168">
        <v>443908</v>
      </c>
      <c r="MP287" s="168">
        <v>322279</v>
      </c>
      <c r="MQ287" s="168">
        <v>55000</v>
      </c>
      <c r="MR287" s="168">
        <v>335385</v>
      </c>
      <c r="MS287" s="21"/>
      <c r="MT287" s="21"/>
      <c r="MU287" s="21"/>
      <c r="MV287" s="21"/>
      <c r="MW287" s="168">
        <v>1913627</v>
      </c>
      <c r="MX287" s="168">
        <v>1893523</v>
      </c>
      <c r="MY287" s="21"/>
      <c r="MZ287" s="21"/>
      <c r="NA287" s="21"/>
      <c r="NB287" s="21"/>
      <c r="NC287" s="168">
        <v>5404675</v>
      </c>
      <c r="ND287" s="168">
        <v>4939159</v>
      </c>
      <c r="NE287" s="21"/>
      <c r="NF287" s="21"/>
      <c r="NG287" s="168">
        <v>81433657</v>
      </c>
      <c r="NH287" s="168">
        <v>76028966</v>
      </c>
      <c r="NI287" s="21"/>
      <c r="NJ287" s="21"/>
      <c r="NK287" s="168">
        <v>773791</v>
      </c>
      <c r="NL287" s="168">
        <v>694061</v>
      </c>
      <c r="NM287" s="168">
        <v>37133449</v>
      </c>
      <c r="NN287" s="168">
        <v>42540030</v>
      </c>
      <c r="NO287" s="168">
        <v>120672167</v>
      </c>
      <c r="NP287" s="168">
        <v>120770843</v>
      </c>
      <c r="NQ287" s="168" t="s">
        <v>1189</v>
      </c>
      <c r="NR287" s="168" t="s">
        <v>769</v>
      </c>
      <c r="NS287" s="168" t="s">
        <v>770</v>
      </c>
      <c r="NT287" s="168" t="s">
        <v>771</v>
      </c>
      <c r="NU287" s="168">
        <v>3801</v>
      </c>
      <c r="NV287" s="168" t="s">
        <v>2104</v>
      </c>
      <c r="NW287" s="168" t="s">
        <v>28</v>
      </c>
      <c r="NX287" s="168" t="s">
        <v>25</v>
      </c>
      <c r="NY287" s="169">
        <v>42766</v>
      </c>
      <c r="NZ287" s="169">
        <v>42400</v>
      </c>
      <c r="OA287" s="169">
        <v>43061</v>
      </c>
      <c r="OB287" s="168" t="s">
        <v>1190</v>
      </c>
      <c r="OC287" s="168">
        <v>12</v>
      </c>
      <c r="OD287" s="168" t="s">
        <v>2105</v>
      </c>
      <c r="OE287" s="168" t="s">
        <v>1533</v>
      </c>
      <c r="OF287" s="168" t="s">
        <v>2357</v>
      </c>
      <c r="OG287" s="168" t="s">
        <v>1913</v>
      </c>
      <c r="OH287" s="168" t="s">
        <v>833</v>
      </c>
      <c r="OI287" s="168" t="s">
        <v>766</v>
      </c>
      <c r="OJ287" s="168" t="s">
        <v>3240</v>
      </c>
      <c r="OK287" s="168" t="s">
        <v>767</v>
      </c>
    </row>
    <row r="288" spans="1:401" x14ac:dyDescent="0.2">
      <c r="A288" s="170" t="str">
        <f>Liste[[#This Row],[Siren]]</f>
        <v>490736857</v>
      </c>
      <c r="B288" s="198" t="str">
        <f>Liste[[#This Row],[Dénomination]]&amp;" - comptes "&amp;YEAR(Liste[[#This Row],[Date de cloture de l''exercice]])</f>
        <v>HOLDING FLOBER - comptes 2017</v>
      </c>
      <c r="C288" s="21"/>
      <c r="D288" s="21"/>
      <c r="E288" s="21"/>
      <c r="F288" s="168">
        <v>2053611</v>
      </c>
      <c r="G288" s="168">
        <v>841581</v>
      </c>
      <c r="H288" s="168">
        <v>2053611</v>
      </c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168">
        <v>9095</v>
      </c>
      <c r="BD288" s="168">
        <v>95770</v>
      </c>
      <c r="BE288" s="168">
        <v>72866</v>
      </c>
      <c r="BF288" s="168">
        <v>104865</v>
      </c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168">
        <v>9800000</v>
      </c>
      <c r="CF288" s="21"/>
      <c r="CG288" s="168">
        <v>9800000</v>
      </c>
      <c r="CH288" s="21"/>
      <c r="CI288" s="21"/>
      <c r="CJ288" s="21"/>
      <c r="CK288" s="21"/>
      <c r="CL288" s="21"/>
      <c r="CM288" s="21"/>
      <c r="CN288" s="21"/>
      <c r="CO288" s="21"/>
      <c r="CP288" s="21"/>
      <c r="CQ288" s="21"/>
      <c r="CR288" s="21"/>
      <c r="CS288" s="21"/>
      <c r="CT288" s="21"/>
      <c r="CU288" s="21"/>
      <c r="CV288" s="21"/>
      <c r="CW288" s="21"/>
      <c r="CX288" s="21"/>
      <c r="CY288" s="21"/>
      <c r="CZ288" s="21"/>
      <c r="DA288" s="21"/>
      <c r="DB288" s="21"/>
      <c r="DC288" s="21"/>
      <c r="DD288" s="21"/>
      <c r="DE288" s="21"/>
      <c r="DF288" s="21"/>
      <c r="DG288" s="21"/>
      <c r="DH288" s="21"/>
      <c r="DI288" s="21"/>
      <c r="DJ288" s="21"/>
      <c r="DK288" s="21"/>
      <c r="DL288" s="21"/>
      <c r="DM288" s="21"/>
      <c r="DN288" s="21"/>
      <c r="DO288" s="21"/>
      <c r="DP288" s="21"/>
      <c r="DQ288" s="21"/>
      <c r="DR288" s="21"/>
      <c r="DS288" s="21"/>
      <c r="DT288" s="21"/>
      <c r="DU288" s="21"/>
      <c r="DV288" s="21"/>
      <c r="DW288" s="21"/>
      <c r="DX288" s="21"/>
      <c r="DY288" s="21"/>
      <c r="DZ288" s="21"/>
      <c r="EA288" s="21"/>
      <c r="EB288" s="21"/>
      <c r="EC288" s="21"/>
      <c r="ED288" s="21"/>
      <c r="EE288" s="21"/>
      <c r="EF288" s="21"/>
      <c r="EG288" s="21"/>
      <c r="EH288" s="21"/>
      <c r="EI288" s="21"/>
      <c r="EJ288" s="21"/>
      <c r="EK288" s="168">
        <v>14262130</v>
      </c>
      <c r="EL288" s="168">
        <v>21262418</v>
      </c>
      <c r="EM288" s="168">
        <v>21827581</v>
      </c>
      <c r="EN288" s="168">
        <v>35524548</v>
      </c>
      <c r="EO288" s="168">
        <v>127887</v>
      </c>
      <c r="EP288" s="168">
        <v>12649158</v>
      </c>
      <c r="EQ288" s="168">
        <v>11529706</v>
      </c>
      <c r="ER288" s="168">
        <v>12777046</v>
      </c>
      <c r="ES288" s="168">
        <v>14390017</v>
      </c>
      <c r="ET288" s="168">
        <v>33911576</v>
      </c>
      <c r="EU288" s="168">
        <v>33357286</v>
      </c>
      <c r="EV288" s="168">
        <v>48301593</v>
      </c>
      <c r="EW288" s="21"/>
      <c r="EX288" s="21"/>
      <c r="EY288" s="21"/>
      <c r="EZ288" s="21"/>
      <c r="FA288" s="21"/>
      <c r="FB288" s="168">
        <v>772694</v>
      </c>
      <c r="FC288" s="168">
        <v>775389</v>
      </c>
      <c r="FD288" s="168">
        <v>772694</v>
      </c>
      <c r="FE288" s="21"/>
      <c r="FF288" s="168">
        <v>7245388</v>
      </c>
      <c r="FG288" s="168">
        <v>7318288</v>
      </c>
      <c r="FH288" s="168">
        <v>7245388</v>
      </c>
      <c r="FI288" s="168">
        <v>240484</v>
      </c>
      <c r="FJ288" s="168">
        <v>492707</v>
      </c>
      <c r="FK288" s="21"/>
      <c r="FL288" s="21"/>
      <c r="FM288" s="21"/>
      <c r="FN288" s="21"/>
      <c r="FO288" s="21"/>
      <c r="FP288" s="21"/>
      <c r="FQ288" s="21"/>
      <c r="FR288" s="21"/>
      <c r="FS288" s="21"/>
      <c r="FT288" s="21"/>
      <c r="FU288" s="21"/>
      <c r="FV288" s="21"/>
      <c r="FW288" s="168">
        <v>-382886</v>
      </c>
      <c r="FX288" s="168">
        <v>-449137</v>
      </c>
      <c r="FY288" s="168">
        <v>5038</v>
      </c>
      <c r="FZ288" s="168">
        <v>4980</v>
      </c>
      <c r="GA288" s="21"/>
      <c r="GB288" s="21"/>
      <c r="GC288" s="21"/>
      <c r="GD288" s="21"/>
      <c r="GE288" s="21"/>
      <c r="GF288" s="21"/>
      <c r="GG288" s="21"/>
      <c r="GH288" s="21"/>
      <c r="GI288" s="21"/>
      <c r="GJ288" s="21"/>
      <c r="GK288" s="21"/>
      <c r="GL288" s="21"/>
      <c r="GM288" s="168">
        <v>2002347</v>
      </c>
      <c r="GN288" s="168">
        <v>2282477</v>
      </c>
      <c r="GO288" s="168">
        <v>2002347</v>
      </c>
      <c r="GP288" s="168">
        <v>2282477</v>
      </c>
      <c r="GQ288" s="21"/>
      <c r="GR288" s="21"/>
      <c r="GS288" s="168">
        <v>1997309</v>
      </c>
      <c r="GT288" s="168">
        <v>2277497</v>
      </c>
      <c r="GU288" s="168">
        <v>-9326</v>
      </c>
      <c r="GV288" s="168">
        <v>-208958</v>
      </c>
      <c r="GW288" s="168">
        <v>249810</v>
      </c>
      <c r="GX288" s="168">
        <v>701665</v>
      </c>
      <c r="GY288" s="21"/>
      <c r="GZ288" s="21"/>
      <c r="HA288" s="21"/>
      <c r="HB288" s="21"/>
      <c r="HC288" s="168">
        <v>-3638330</v>
      </c>
      <c r="HD288" s="168">
        <v>-3522449</v>
      </c>
      <c r="HE288" s="21"/>
      <c r="HF288" s="21"/>
      <c r="HG288" s="21"/>
      <c r="HH288" s="21"/>
      <c r="HI288" s="168">
        <v>660531</v>
      </c>
      <c r="HJ288" s="168">
        <v>519425</v>
      </c>
      <c r="HK288" s="21"/>
      <c r="HL288" s="21"/>
      <c r="HM288" s="21"/>
      <c r="HN288" s="21"/>
      <c r="HO288" s="21"/>
      <c r="HP288" s="21"/>
      <c r="HQ288" s="21"/>
      <c r="HR288" s="21"/>
      <c r="HS288" s="21"/>
      <c r="HT288" s="21"/>
      <c r="HU288" s="21"/>
      <c r="HV288" s="21"/>
      <c r="HW288" s="21"/>
      <c r="HX288" s="21"/>
      <c r="HY288" s="21"/>
      <c r="HZ288" s="21"/>
      <c r="IA288" s="21"/>
      <c r="IB288" s="21"/>
      <c r="IC288" s="21"/>
      <c r="ID288" s="21"/>
      <c r="IE288" s="168">
        <v>-936204</v>
      </c>
      <c r="IF288" s="168">
        <v>-858643</v>
      </c>
      <c r="IG288" s="21"/>
      <c r="IH288" s="21"/>
      <c r="II288" s="21"/>
      <c r="IJ288" s="21"/>
      <c r="IK288" s="21"/>
      <c r="IL288" s="21"/>
      <c r="IM288" s="21"/>
      <c r="IN288" s="21"/>
      <c r="IO288" s="21"/>
      <c r="IP288" s="21"/>
      <c r="IQ288" s="21"/>
      <c r="IR288" s="21"/>
      <c r="IS288" s="21"/>
      <c r="IT288" s="21"/>
      <c r="IU288" s="168">
        <v>21447491</v>
      </c>
      <c r="IV288" s="168">
        <v>2238907</v>
      </c>
      <c r="IW288" s="168">
        <v>2185367</v>
      </c>
      <c r="IX288" s="168">
        <v>2296973</v>
      </c>
      <c r="IY288" s="168">
        <v>-43969</v>
      </c>
      <c r="IZ288" s="168">
        <v>-60619</v>
      </c>
      <c r="JA288" s="21"/>
      <c r="JB288" s="21"/>
      <c r="JC288" s="21"/>
      <c r="JD288" s="21"/>
      <c r="JE288" s="168">
        <v>-7870365</v>
      </c>
      <c r="JF288" s="168">
        <v>-7720821</v>
      </c>
      <c r="JG288" s="21"/>
      <c r="JH288" s="21"/>
      <c r="JI288" s="168">
        <v>-65925039</v>
      </c>
      <c r="JJ288" s="168">
        <v>-65895796</v>
      </c>
      <c r="JK288" s="168">
        <v>-96513</v>
      </c>
      <c r="JL288" s="168">
        <v>-129963</v>
      </c>
      <c r="JM288" s="168">
        <v>68110407</v>
      </c>
      <c r="JN288" s="168">
        <v>68192769</v>
      </c>
      <c r="JO288" s="168">
        <v>52544</v>
      </c>
      <c r="JP288" s="168">
        <v>69344</v>
      </c>
      <c r="JQ288" s="21"/>
      <c r="JR288" s="21"/>
      <c r="JS288" s="21"/>
      <c r="JT288" s="21"/>
      <c r="JU288" s="21"/>
      <c r="JV288" s="21"/>
      <c r="JW288" s="168">
        <v>67449876</v>
      </c>
      <c r="JX288" s="168">
        <v>67673345</v>
      </c>
      <c r="JY288" s="21"/>
      <c r="JZ288" s="21"/>
      <c r="KA288" s="21"/>
      <c r="KB288" s="21"/>
      <c r="KC288" s="21"/>
      <c r="KD288" s="21"/>
      <c r="KE288" s="21"/>
      <c r="KF288" s="21"/>
      <c r="KG288" s="21"/>
      <c r="KH288" s="21"/>
      <c r="KI288" s="21"/>
      <c r="KJ288" s="21"/>
      <c r="KK288" s="21"/>
      <c r="KL288" s="21"/>
      <c r="KM288" s="21"/>
      <c r="KN288" s="21"/>
      <c r="KO288" s="21"/>
      <c r="KP288" s="21"/>
      <c r="KQ288" s="168">
        <v>633285</v>
      </c>
      <c r="KR288" s="168">
        <v>679219</v>
      </c>
      <c r="KS288" s="21"/>
      <c r="KT288" s="21"/>
      <c r="KU288" s="21"/>
      <c r="KV288" s="21"/>
      <c r="KW288" s="21"/>
      <c r="KX288" s="21"/>
      <c r="KY288" s="21"/>
      <c r="KZ288" s="21"/>
      <c r="LA288" s="168">
        <v>41592</v>
      </c>
      <c r="LB288" s="168">
        <v>41592</v>
      </c>
      <c r="LC288" s="21"/>
      <c r="LD288" s="21"/>
      <c r="LE288" s="21"/>
      <c r="LF288" s="21"/>
      <c r="LG288" s="21"/>
      <c r="LH288" s="21"/>
      <c r="LI288" s="21"/>
      <c r="LJ288" s="21"/>
      <c r="LK288" s="168">
        <v>6247500</v>
      </c>
      <c r="LL288" s="168">
        <v>6194019</v>
      </c>
      <c r="LM288" s="21"/>
      <c r="LN288" s="21"/>
      <c r="LO288" s="21"/>
      <c r="LP288" s="21"/>
      <c r="LQ288" s="21"/>
      <c r="LR288" s="21"/>
      <c r="LS288" s="21"/>
      <c r="LT288" s="21"/>
      <c r="LU288" s="21"/>
      <c r="LV288" s="21"/>
      <c r="LW288" s="21"/>
      <c r="LX288" s="21"/>
      <c r="LY288" s="168">
        <v>-1</v>
      </c>
      <c r="LZ288" s="168">
        <v>219977</v>
      </c>
      <c r="MA288" s="21"/>
      <c r="MB288" s="21"/>
      <c r="MC288" s="168">
        <v>2787383</v>
      </c>
      <c r="MD288" s="168">
        <v>3994591</v>
      </c>
      <c r="ME288" s="21"/>
      <c r="MF288" s="21"/>
      <c r="MG288" s="21"/>
      <c r="MH288" s="21"/>
      <c r="MI288" s="168">
        <v>598408</v>
      </c>
      <c r="MJ288" s="168">
        <v>598408</v>
      </c>
      <c r="MK288" s="21"/>
      <c r="ML288" s="21"/>
      <c r="MM288" s="168">
        <v>1144</v>
      </c>
      <c r="MN288" s="168">
        <v>1143</v>
      </c>
      <c r="MO288" s="168">
        <v>382299</v>
      </c>
      <c r="MP288" s="168">
        <v>382299</v>
      </c>
      <c r="MQ288" s="21"/>
      <c r="MR288" s="168">
        <v>5291</v>
      </c>
      <c r="MS288" s="21"/>
      <c r="MT288" s="21"/>
      <c r="MU288" s="21"/>
      <c r="MV288" s="21"/>
      <c r="MW288" s="168">
        <v>21164943</v>
      </c>
      <c r="MX288" s="168">
        <v>18887414</v>
      </c>
      <c r="MY288" s="21"/>
      <c r="MZ288" s="21"/>
      <c r="NA288" s="21"/>
      <c r="NB288" s="21"/>
      <c r="NC288" s="168">
        <v>1997309</v>
      </c>
      <c r="ND288" s="168">
        <v>2277497</v>
      </c>
      <c r="NE288" s="21"/>
      <c r="NF288" s="21"/>
      <c r="NG288" s="168">
        <v>23802252</v>
      </c>
      <c r="NH288" s="168">
        <v>21804911</v>
      </c>
      <c r="NI288" s="21"/>
      <c r="NJ288" s="21"/>
      <c r="NK288" s="21"/>
      <c r="NL288" s="21"/>
      <c r="NM288" s="168">
        <v>9670429</v>
      </c>
      <c r="NN288" s="168">
        <v>10888210</v>
      </c>
      <c r="NO288" s="168">
        <v>33911576</v>
      </c>
      <c r="NP288" s="168">
        <v>33357286</v>
      </c>
      <c r="NQ288" s="168" t="s">
        <v>962</v>
      </c>
      <c r="NR288" s="168" t="s">
        <v>1041</v>
      </c>
      <c r="NS288" s="168" t="s">
        <v>770</v>
      </c>
      <c r="NT288" s="168" t="s">
        <v>771</v>
      </c>
      <c r="NU288" s="168">
        <v>1704</v>
      </c>
      <c r="NV288" s="168" t="s">
        <v>2104</v>
      </c>
      <c r="NW288" s="168" t="s">
        <v>28</v>
      </c>
      <c r="NX288" s="168" t="s">
        <v>25</v>
      </c>
      <c r="NY288" s="169">
        <v>42766</v>
      </c>
      <c r="NZ288" s="169">
        <v>42400</v>
      </c>
      <c r="OA288" s="169">
        <v>43006</v>
      </c>
      <c r="OB288" s="168" t="s">
        <v>1201</v>
      </c>
      <c r="OC288" s="168">
        <v>12</v>
      </c>
      <c r="OD288" s="168" t="s">
        <v>2105</v>
      </c>
      <c r="OE288" s="168" t="s">
        <v>2187</v>
      </c>
      <c r="OF288" s="168" t="s">
        <v>2366</v>
      </c>
      <c r="OG288" s="168" t="s">
        <v>1921</v>
      </c>
      <c r="OH288" s="168" t="s">
        <v>824</v>
      </c>
      <c r="OI288" s="168" t="s">
        <v>766</v>
      </c>
      <c r="OJ288" s="168" t="s">
        <v>3240</v>
      </c>
      <c r="OK288" s="168" t="s">
        <v>1040</v>
      </c>
    </row>
    <row r="289" spans="1:401" x14ac:dyDescent="0.2">
      <c r="A289" s="170" t="str">
        <f>Liste[[#This Row],[Siren]]</f>
        <v>503877029</v>
      </c>
      <c r="B289" s="198" t="str">
        <f>Liste[[#This Row],[Dénomination]]&amp;" - comptes "&amp;YEAR(Liste[[#This Row],[Date de cloture de l''exercice]])</f>
        <v>BOURGOIN DISTRIBUTION - comptes 2017</v>
      </c>
      <c r="C289" s="21"/>
      <c r="D289" s="21"/>
      <c r="E289" s="168">
        <v>2595</v>
      </c>
      <c r="F289" s="168">
        <v>6960535</v>
      </c>
      <c r="G289" s="168">
        <v>5769255</v>
      </c>
      <c r="H289" s="168">
        <v>6963130</v>
      </c>
      <c r="I289" s="168">
        <v>3920010</v>
      </c>
      <c r="J289" s="168">
        <v>1190044</v>
      </c>
      <c r="K289" s="168">
        <v>1205162</v>
      </c>
      <c r="L289" s="168">
        <v>5110054</v>
      </c>
      <c r="M289" s="21"/>
      <c r="N289" s="168">
        <v>91</v>
      </c>
      <c r="O289" s="168">
        <v>270</v>
      </c>
      <c r="P289" s="168">
        <v>91</v>
      </c>
      <c r="Q289" s="21"/>
      <c r="R289" s="21"/>
      <c r="S289" s="21"/>
      <c r="T289" s="21"/>
      <c r="U289" s="21"/>
      <c r="V289" s="21"/>
      <c r="W289" s="21"/>
      <c r="X289" s="21"/>
      <c r="Y289" s="168">
        <v>51890</v>
      </c>
      <c r="Z289" s="168">
        <v>2488521</v>
      </c>
      <c r="AA289" s="168">
        <v>2525931</v>
      </c>
      <c r="AB289" s="168">
        <v>2540411</v>
      </c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168">
        <v>204481</v>
      </c>
      <c r="BA289" s="168">
        <v>171549</v>
      </c>
      <c r="BB289" s="168">
        <v>204481</v>
      </c>
      <c r="BC289" s="168">
        <v>13747</v>
      </c>
      <c r="BD289" s="168">
        <v>263126</v>
      </c>
      <c r="BE289" s="168">
        <v>231314</v>
      </c>
      <c r="BF289" s="168">
        <v>276873</v>
      </c>
      <c r="BG289" s="168">
        <v>86137</v>
      </c>
      <c r="BH289" s="168">
        <v>11567</v>
      </c>
      <c r="BI289" s="168">
        <v>21764</v>
      </c>
      <c r="BJ289" s="168">
        <v>97704</v>
      </c>
      <c r="BK289" s="168">
        <v>12977972</v>
      </c>
      <c r="BL289" s="168">
        <v>6563822</v>
      </c>
      <c r="BM289" s="168">
        <v>6730966</v>
      </c>
      <c r="BN289" s="168">
        <v>19541794</v>
      </c>
      <c r="BO289" s="21"/>
      <c r="BP289" s="21"/>
      <c r="BQ289" s="21"/>
      <c r="BR289" s="21"/>
      <c r="BS289" s="21"/>
      <c r="BT289" s="21"/>
      <c r="BU289" s="21"/>
      <c r="BV289" s="21"/>
      <c r="BW289" s="21"/>
      <c r="BX289" s="168">
        <v>5628903</v>
      </c>
      <c r="BY289" s="168">
        <v>1220243</v>
      </c>
      <c r="BZ289" s="168">
        <v>5628903</v>
      </c>
      <c r="CA289" s="21"/>
      <c r="CB289" s="21"/>
      <c r="CC289" s="21"/>
      <c r="CD289" s="21"/>
      <c r="CE289" s="21"/>
      <c r="CF289" s="21"/>
      <c r="CG289" s="21"/>
      <c r="CH289" s="21"/>
      <c r="CI289" s="21"/>
      <c r="CJ289" s="21"/>
      <c r="CK289" s="21"/>
      <c r="CL289" s="21"/>
      <c r="CM289" s="21"/>
      <c r="CN289" s="21"/>
      <c r="CO289" s="21"/>
      <c r="CP289" s="21"/>
      <c r="CQ289" s="168">
        <v>122147</v>
      </c>
      <c r="CR289" s="168">
        <v>22348784</v>
      </c>
      <c r="CS289" s="168">
        <v>122147</v>
      </c>
      <c r="CT289" s="21"/>
      <c r="CU289" s="21"/>
      <c r="CV289" s="21"/>
      <c r="CW289" s="21"/>
      <c r="CX289" s="21"/>
      <c r="CY289" s="21"/>
      <c r="CZ289" s="21"/>
      <c r="DA289" s="21"/>
      <c r="DB289" s="21"/>
      <c r="DC289" s="168">
        <v>5002969</v>
      </c>
      <c r="DD289" s="168">
        <v>21900</v>
      </c>
      <c r="DE289" s="168">
        <v>5002969</v>
      </c>
      <c r="DF289" s="168">
        <v>2855773</v>
      </c>
      <c r="DG289" s="168">
        <v>1012105</v>
      </c>
      <c r="DH289" s="168">
        <v>842862</v>
      </c>
      <c r="DI289" s="168">
        <v>3867878</v>
      </c>
      <c r="DJ289" s="168">
        <v>213442</v>
      </c>
      <c r="DK289" s="168">
        <v>9091153</v>
      </c>
      <c r="DL289" s="168">
        <v>9026357</v>
      </c>
      <c r="DM289" s="168">
        <v>9304595</v>
      </c>
      <c r="DN289" s="21"/>
      <c r="DO289" s="168">
        <v>30402</v>
      </c>
      <c r="DP289" s="168">
        <v>39418</v>
      </c>
      <c r="DQ289" s="168">
        <v>30402</v>
      </c>
      <c r="DR289" s="21"/>
      <c r="DS289" s="21"/>
      <c r="DT289" s="21"/>
      <c r="DU289" s="21"/>
      <c r="DV289" s="21"/>
      <c r="DW289" s="168">
        <v>416879</v>
      </c>
      <c r="DX289" s="168">
        <v>357879</v>
      </c>
      <c r="DY289" s="168">
        <v>416879</v>
      </c>
      <c r="DZ289" s="21"/>
      <c r="EA289" s="21"/>
      <c r="EB289" s="21"/>
      <c r="EC289" s="21"/>
      <c r="ED289" s="21"/>
      <c r="EE289" s="21"/>
      <c r="EF289" s="21"/>
      <c r="EG289" s="21"/>
      <c r="EH289" s="21"/>
      <c r="EI289" s="21"/>
      <c r="EJ289" s="21"/>
      <c r="EK289" s="168">
        <v>19935263</v>
      </c>
      <c r="EL289" s="168">
        <v>19004240</v>
      </c>
      <c r="EM289" s="168">
        <v>36257404</v>
      </c>
      <c r="EN289" s="168">
        <v>38939503</v>
      </c>
      <c r="EO289" s="168">
        <v>229784</v>
      </c>
      <c r="EP289" s="168">
        <v>39379414</v>
      </c>
      <c r="EQ289" s="168">
        <v>39554332</v>
      </c>
      <c r="ER289" s="168">
        <v>39609198</v>
      </c>
      <c r="ES289" s="168">
        <v>24919275</v>
      </c>
      <c r="ET289" s="168">
        <v>85395486</v>
      </c>
      <c r="EU289" s="168">
        <v>81199865</v>
      </c>
      <c r="EV289" s="168">
        <v>110314761</v>
      </c>
      <c r="EW289" s="168">
        <v>43481</v>
      </c>
      <c r="EX289" s="168">
        <v>2196095</v>
      </c>
      <c r="EY289" s="168">
        <v>2201886</v>
      </c>
      <c r="EZ289" s="168">
        <v>2239576</v>
      </c>
      <c r="FA289" s="21"/>
      <c r="FB289" s="21"/>
      <c r="FC289" s="21"/>
      <c r="FD289" s="21"/>
      <c r="FE289" s="21"/>
      <c r="FF289" s="168">
        <v>17200815</v>
      </c>
      <c r="FG289" s="168">
        <v>23096196</v>
      </c>
      <c r="FH289" s="168">
        <v>17200815</v>
      </c>
      <c r="FI289" s="21"/>
      <c r="FJ289" s="21"/>
      <c r="FK289" s="21"/>
      <c r="FL289" s="21"/>
      <c r="FM289" s="21"/>
      <c r="FN289" s="21"/>
      <c r="FO289" s="21"/>
      <c r="FP289" s="21"/>
      <c r="FQ289" s="168">
        <v>633897</v>
      </c>
      <c r="FR289" s="168">
        <v>633897</v>
      </c>
      <c r="FS289" s="21"/>
      <c r="FT289" s="21"/>
      <c r="FU289" s="168">
        <v>54991</v>
      </c>
      <c r="FV289" s="168">
        <v>-87271</v>
      </c>
      <c r="FW289" s="168">
        <v>1113733</v>
      </c>
      <c r="FX289" s="168">
        <v>1813683</v>
      </c>
      <c r="FY289" s="168">
        <v>1522</v>
      </c>
      <c r="FZ289" s="168">
        <v>1476</v>
      </c>
      <c r="GA289" s="21"/>
      <c r="GB289" s="21"/>
      <c r="GC289" s="21"/>
      <c r="GD289" s="21"/>
      <c r="GE289" s="21"/>
      <c r="GF289" s="21"/>
      <c r="GG289" s="21"/>
      <c r="GH289" s="21"/>
      <c r="GI289" s="21"/>
      <c r="GJ289" s="21"/>
      <c r="GK289" s="21"/>
      <c r="GL289" s="21"/>
      <c r="GM289" s="168">
        <v>3259494</v>
      </c>
      <c r="GN289" s="168">
        <v>4304400</v>
      </c>
      <c r="GO289" s="168">
        <v>3893391</v>
      </c>
      <c r="GP289" s="168">
        <v>4938297</v>
      </c>
      <c r="GQ289" s="21"/>
      <c r="GR289" s="21"/>
      <c r="GS289" s="168">
        <v>3257972</v>
      </c>
      <c r="GT289" s="168">
        <v>4302924</v>
      </c>
      <c r="GU289" s="21"/>
      <c r="GV289" s="21"/>
      <c r="GW289" s="21"/>
      <c r="GX289" s="21"/>
      <c r="GY289" s="168">
        <v>96911230</v>
      </c>
      <c r="GZ289" s="168">
        <v>102810595</v>
      </c>
      <c r="HA289" s="21"/>
      <c r="HB289" s="21"/>
      <c r="HC289" s="21"/>
      <c r="HD289" s="21"/>
      <c r="HE289" s="21"/>
      <c r="HF289" s="21"/>
      <c r="HG289" s="21"/>
      <c r="HH289" s="21"/>
      <c r="HI289" s="21"/>
      <c r="HJ289" s="21"/>
      <c r="HK289" s="21"/>
      <c r="HL289" s="21"/>
      <c r="HM289" s="21"/>
      <c r="HN289" s="21"/>
      <c r="HO289" s="168">
        <v>3197258</v>
      </c>
      <c r="HP289" s="168">
        <v>3606332</v>
      </c>
      <c r="HQ289" s="21"/>
      <c r="HR289" s="21"/>
      <c r="HS289" s="21"/>
      <c r="HT289" s="21"/>
      <c r="HU289" s="168">
        <v>1127270</v>
      </c>
      <c r="HV289" s="168">
        <v>1117070</v>
      </c>
      <c r="HW289" s="168">
        <v>64445</v>
      </c>
      <c r="HX289" s="168">
        <v>14573</v>
      </c>
      <c r="HY289" s="21"/>
      <c r="HZ289" s="21"/>
      <c r="IA289" s="21"/>
      <c r="IB289" s="21"/>
      <c r="IC289" s="21"/>
      <c r="ID289" s="21"/>
      <c r="IE289" s="168">
        <v>2014596</v>
      </c>
      <c r="IF289" s="168">
        <v>2080979</v>
      </c>
      <c r="IG289" s="21"/>
      <c r="IH289" s="21"/>
      <c r="II289" s="21"/>
      <c r="IJ289" s="21"/>
      <c r="IK289" s="21"/>
      <c r="IL289" s="21"/>
      <c r="IM289" s="21"/>
      <c r="IN289" s="21"/>
      <c r="IO289" s="21"/>
      <c r="IP289" s="21"/>
      <c r="IQ289" s="21"/>
      <c r="IR289" s="21"/>
      <c r="IS289" s="21"/>
      <c r="IT289" s="21"/>
      <c r="IU289" s="168">
        <v>5570720</v>
      </c>
      <c r="IV289" s="168">
        <v>6575896</v>
      </c>
      <c r="IW289" s="168">
        <v>5267917</v>
      </c>
      <c r="IX289" s="168">
        <v>6418050</v>
      </c>
      <c r="IY289" s="168">
        <v>302803</v>
      </c>
      <c r="IZ289" s="168">
        <v>157846</v>
      </c>
      <c r="JA289" s="21"/>
      <c r="JB289" s="21"/>
      <c r="JC289" s="21"/>
      <c r="JD289" s="21"/>
      <c r="JE289" s="168">
        <v>10218569</v>
      </c>
      <c r="JF289" s="168">
        <v>10218089</v>
      </c>
      <c r="JG289" s="21"/>
      <c r="JH289" s="21"/>
      <c r="JI289" s="168">
        <v>22912735</v>
      </c>
      <c r="JJ289" s="168">
        <v>23483763</v>
      </c>
      <c r="JK289" s="21"/>
      <c r="JL289" s="21"/>
      <c r="JM289" s="21"/>
      <c r="JN289" s="21"/>
      <c r="JO289" s="168">
        <v>641487</v>
      </c>
      <c r="JP289" s="168">
        <v>573731</v>
      </c>
      <c r="JQ289" s="168">
        <v>-12813</v>
      </c>
      <c r="JR289" s="168">
        <v>83742</v>
      </c>
      <c r="JS289" s="21"/>
      <c r="JT289" s="21"/>
      <c r="JU289" s="21"/>
      <c r="JV289" s="21"/>
      <c r="JW289" s="21"/>
      <c r="JX289" s="21"/>
      <c r="JY289" s="21"/>
      <c r="JZ289" s="21"/>
      <c r="KA289" s="21"/>
      <c r="KB289" s="21"/>
      <c r="KC289" s="21"/>
      <c r="KD289" s="21"/>
      <c r="KE289" s="21"/>
      <c r="KF289" s="21"/>
      <c r="KG289" s="21"/>
      <c r="KH289" s="21"/>
      <c r="KI289" s="168">
        <v>123249403</v>
      </c>
      <c r="KJ289" s="168">
        <v>129817779</v>
      </c>
      <c r="KK289" s="21"/>
      <c r="KL289" s="21"/>
      <c r="KM289" s="21"/>
      <c r="KN289" s="21"/>
      <c r="KO289" s="21"/>
      <c r="KP289" s="21"/>
      <c r="KQ289" s="168">
        <v>717867</v>
      </c>
      <c r="KR289" s="168">
        <v>676433</v>
      </c>
      <c r="KS289" s="21"/>
      <c r="KT289" s="21"/>
      <c r="KU289" s="168">
        <v>13482420</v>
      </c>
      <c r="KV289" s="168">
        <v>11435055</v>
      </c>
      <c r="KW289" s="21"/>
      <c r="KX289" s="21"/>
      <c r="KY289" s="21"/>
      <c r="KZ289" s="21"/>
      <c r="LA289" s="168">
        <v>40000</v>
      </c>
      <c r="LB289" s="168">
        <v>40000</v>
      </c>
      <c r="LC289" s="21"/>
      <c r="LD289" s="21"/>
      <c r="LE289" s="168">
        <v>1522</v>
      </c>
      <c r="LF289" s="168">
        <v>1476</v>
      </c>
      <c r="LG289" s="21"/>
      <c r="LH289" s="21"/>
      <c r="LI289" s="168">
        <v>4792207</v>
      </c>
      <c r="LJ289" s="168">
        <v>5326018</v>
      </c>
      <c r="LK289" s="168">
        <v>9993392</v>
      </c>
      <c r="LL289" s="168">
        <v>11347175</v>
      </c>
      <c r="LM289" s="168">
        <v>776748</v>
      </c>
      <c r="LN289" s="168">
        <v>143818</v>
      </c>
      <c r="LO289" s="21"/>
      <c r="LP289" s="21"/>
      <c r="LQ289" s="21"/>
      <c r="LR289" s="21"/>
      <c r="LS289" s="21"/>
      <c r="LT289" s="21"/>
      <c r="LU289" s="21"/>
      <c r="LV289" s="21"/>
      <c r="LW289" s="21"/>
      <c r="LX289" s="21"/>
      <c r="LY289" s="21"/>
      <c r="LZ289" s="21"/>
      <c r="MA289" s="168">
        <v>33873330</v>
      </c>
      <c r="MB289" s="168">
        <v>34001513</v>
      </c>
      <c r="MC289" s="168">
        <v>7594358</v>
      </c>
      <c r="MD289" s="168">
        <v>5712870</v>
      </c>
      <c r="ME289" s="21"/>
      <c r="MF289" s="21"/>
      <c r="MG289" s="21"/>
      <c r="MH289" s="21"/>
      <c r="MI289" s="21"/>
      <c r="MJ289" s="21"/>
      <c r="MK289" s="21"/>
      <c r="ML289" s="21"/>
      <c r="MM289" s="21"/>
      <c r="MN289" s="168">
        <v>18309</v>
      </c>
      <c r="MO289" s="168">
        <v>93588</v>
      </c>
      <c r="MP289" s="168">
        <v>42890</v>
      </c>
      <c r="MQ289" s="168">
        <v>1149624</v>
      </c>
      <c r="MR289" s="168">
        <v>785960</v>
      </c>
      <c r="MS289" s="21"/>
      <c r="MT289" s="21"/>
      <c r="MU289" s="168">
        <v>9593761</v>
      </c>
      <c r="MV289" s="168">
        <v>7338203</v>
      </c>
      <c r="MW289" s="168">
        <v>4000</v>
      </c>
      <c r="MX289" s="168">
        <v>4000</v>
      </c>
      <c r="MY289" s="21"/>
      <c r="MZ289" s="21"/>
      <c r="NA289" s="21"/>
      <c r="NB289" s="21"/>
      <c r="NC289" s="168">
        <v>3257972</v>
      </c>
      <c r="ND289" s="168">
        <v>4302924</v>
      </c>
      <c r="NE289" s="21"/>
      <c r="NF289" s="21"/>
      <c r="NG289" s="168">
        <v>26378153</v>
      </c>
      <c r="NH289" s="168">
        <v>23120182</v>
      </c>
      <c r="NI289" s="21"/>
      <c r="NJ289" s="21"/>
      <c r="NK289" s="168">
        <v>26219</v>
      </c>
      <c r="NL289" s="168">
        <v>24696</v>
      </c>
      <c r="NM289" s="168">
        <v>57747902</v>
      </c>
      <c r="NN289" s="168">
        <v>57226136</v>
      </c>
      <c r="NO289" s="168">
        <v>85395486</v>
      </c>
      <c r="NP289" s="168">
        <v>81199865</v>
      </c>
      <c r="NQ289" s="168" t="s">
        <v>1361</v>
      </c>
      <c r="NR289" s="168" t="s">
        <v>823</v>
      </c>
      <c r="NS289" s="168" t="s">
        <v>770</v>
      </c>
      <c r="NT289" s="168" t="s">
        <v>771</v>
      </c>
      <c r="NU289" s="168">
        <v>3802</v>
      </c>
      <c r="NV289" s="168" t="s">
        <v>2104</v>
      </c>
      <c r="NW289" s="168" t="s">
        <v>28</v>
      </c>
      <c r="NX289" s="168" t="s">
        <v>25</v>
      </c>
      <c r="NY289" s="169">
        <v>42766</v>
      </c>
      <c r="NZ289" s="169">
        <v>42400</v>
      </c>
      <c r="OA289" s="169">
        <v>42951</v>
      </c>
      <c r="OB289" s="168" t="s">
        <v>1362</v>
      </c>
      <c r="OC289" s="168">
        <v>12</v>
      </c>
      <c r="OD289" s="168" t="s">
        <v>2105</v>
      </c>
      <c r="OE289" s="168" t="s">
        <v>1363</v>
      </c>
      <c r="OF289" s="168" t="s">
        <v>2492</v>
      </c>
      <c r="OG289" s="168" t="s">
        <v>1985</v>
      </c>
      <c r="OH289" s="168" t="s">
        <v>946</v>
      </c>
      <c r="OI289" s="168" t="s">
        <v>766</v>
      </c>
      <c r="OJ289" s="168" t="s">
        <v>3240</v>
      </c>
      <c r="OK289" s="168" t="s">
        <v>822</v>
      </c>
    </row>
    <row r="290" spans="1:401" x14ac:dyDescent="0.2">
      <c r="A290" s="170" t="str">
        <f>Liste[[#This Row],[Siren]]</f>
        <v>414266163</v>
      </c>
      <c r="B290" s="198" t="str">
        <f>Liste[[#This Row],[Dénomination]]&amp;" - comptes "&amp;YEAR(Liste[[#This Row],[Date de cloture de l''exercice]])</f>
        <v>"G.M.H." - GERARD MARIOTTE HOLDING - comptes 2017</v>
      </c>
      <c r="C290" s="21"/>
      <c r="D290" s="21"/>
      <c r="E290" s="21"/>
      <c r="F290" s="168">
        <v>729</v>
      </c>
      <c r="G290" s="168">
        <v>616</v>
      </c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168">
        <v>5024</v>
      </c>
      <c r="BE290" s="168">
        <v>4528</v>
      </c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168">
        <v>1460</v>
      </c>
      <c r="BY290" s="168">
        <v>1613</v>
      </c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  <c r="CJ290" s="21"/>
      <c r="CK290" s="21"/>
      <c r="CL290" s="21"/>
      <c r="CM290" s="21"/>
      <c r="CN290" s="21"/>
      <c r="CO290" s="21"/>
      <c r="CP290" s="21"/>
      <c r="CQ290" s="21"/>
      <c r="CR290" s="21"/>
      <c r="CS290" s="21"/>
      <c r="CT290" s="21"/>
      <c r="CU290" s="21"/>
      <c r="CV290" s="21"/>
      <c r="CW290" s="21"/>
      <c r="CX290" s="21"/>
      <c r="CY290" s="21"/>
      <c r="CZ290" s="21"/>
      <c r="DA290" s="21"/>
      <c r="DB290" s="21"/>
      <c r="DC290" s="21"/>
      <c r="DD290" s="21"/>
      <c r="DE290" s="21"/>
      <c r="DF290" s="21"/>
      <c r="DG290" s="21"/>
      <c r="DH290" s="21"/>
      <c r="DI290" s="21"/>
      <c r="DJ290" s="21"/>
      <c r="DK290" s="21"/>
      <c r="DL290" s="21"/>
      <c r="DM290" s="21"/>
      <c r="DN290" s="21"/>
      <c r="DO290" s="21"/>
      <c r="DP290" s="21"/>
      <c r="DQ290" s="21"/>
      <c r="DR290" s="21"/>
      <c r="DS290" s="21"/>
      <c r="DT290" s="21"/>
      <c r="DU290" s="21"/>
      <c r="DV290" s="21"/>
      <c r="DW290" s="21"/>
      <c r="DX290" s="21"/>
      <c r="DY290" s="21"/>
      <c r="DZ290" s="21"/>
      <c r="EA290" s="21"/>
      <c r="EB290" s="21"/>
      <c r="EC290" s="21"/>
      <c r="ED290" s="21"/>
      <c r="EE290" s="21"/>
      <c r="EF290" s="21"/>
      <c r="EG290" s="21"/>
      <c r="EH290" s="21"/>
      <c r="EI290" s="21"/>
      <c r="EJ290" s="21"/>
      <c r="EK290" s="21"/>
      <c r="EL290" s="168">
        <v>1814</v>
      </c>
      <c r="EM290" s="168">
        <v>1604</v>
      </c>
      <c r="EN290" s="21"/>
      <c r="EO290" s="21"/>
      <c r="EP290" s="168">
        <v>12823</v>
      </c>
      <c r="EQ290" s="168">
        <v>12495</v>
      </c>
      <c r="ER290" s="21"/>
      <c r="ES290" s="21"/>
      <c r="ET290" s="168">
        <v>14637</v>
      </c>
      <c r="EU290" s="168">
        <v>14099</v>
      </c>
      <c r="EV290" s="21"/>
      <c r="EW290" s="21"/>
      <c r="EX290" s="21"/>
      <c r="EY290" s="21"/>
      <c r="EZ290" s="21"/>
      <c r="FA290" s="21"/>
      <c r="FB290" s="21"/>
      <c r="FC290" s="21"/>
      <c r="FD290" s="21"/>
      <c r="FE290" s="21"/>
      <c r="FF290" s="168">
        <v>18</v>
      </c>
      <c r="FG290" s="168">
        <v>59</v>
      </c>
      <c r="FH290" s="21"/>
      <c r="FI290" s="21"/>
      <c r="FJ290" s="21"/>
      <c r="FK290" s="168">
        <v>315</v>
      </c>
      <c r="FL290" s="168">
        <v>30</v>
      </c>
      <c r="FM290" s="21"/>
      <c r="FN290" s="21"/>
      <c r="FO290" s="21"/>
      <c r="FP290" s="21"/>
      <c r="FQ290" s="168">
        <v>74</v>
      </c>
      <c r="FR290" s="168">
        <v>74</v>
      </c>
      <c r="FS290" s="21"/>
      <c r="FT290" s="21"/>
      <c r="FU290" s="21"/>
      <c r="FV290" s="21"/>
      <c r="FW290" s="21"/>
      <c r="FX290" s="21"/>
      <c r="FY290" s="168">
        <v>196</v>
      </c>
      <c r="FZ290" s="168">
        <v>61</v>
      </c>
      <c r="GA290" s="21"/>
      <c r="GB290" s="21"/>
      <c r="GC290" s="21"/>
      <c r="GD290" s="21"/>
      <c r="GE290" s="21"/>
      <c r="GF290" s="21"/>
      <c r="GG290" s="21"/>
      <c r="GH290" s="21"/>
      <c r="GI290" s="21"/>
      <c r="GJ290" s="21"/>
      <c r="GK290" s="21"/>
      <c r="GL290" s="21"/>
      <c r="GM290" s="168">
        <v>511</v>
      </c>
      <c r="GN290" s="168">
        <v>31</v>
      </c>
      <c r="GO290" s="168">
        <v>585</v>
      </c>
      <c r="GP290" s="168">
        <v>105</v>
      </c>
      <c r="GQ290" s="21"/>
      <c r="GR290" s="21"/>
      <c r="GS290" s="168">
        <v>315</v>
      </c>
      <c r="GT290" s="168">
        <v>30</v>
      </c>
      <c r="GU290" s="21"/>
      <c r="GV290" s="21"/>
      <c r="GW290" s="21"/>
      <c r="GX290" s="21"/>
      <c r="GY290" s="21"/>
      <c r="GZ290" s="21"/>
      <c r="HA290" s="21"/>
      <c r="HB290" s="21"/>
      <c r="HC290" s="21"/>
      <c r="HD290" s="21"/>
      <c r="HE290" s="21"/>
      <c r="HF290" s="21"/>
      <c r="HG290" s="21"/>
      <c r="HH290" s="21"/>
      <c r="HI290" s="168">
        <v>625</v>
      </c>
      <c r="HJ290" s="168">
        <v>897</v>
      </c>
      <c r="HK290" s="21"/>
      <c r="HL290" s="21"/>
      <c r="HM290" s="21"/>
      <c r="HN290" s="21"/>
      <c r="HO290" s="168">
        <v>3540</v>
      </c>
      <c r="HP290" s="168">
        <v>3648</v>
      </c>
      <c r="HQ290" s="21"/>
      <c r="HR290" s="21"/>
      <c r="HS290" s="21"/>
      <c r="HT290" s="21"/>
      <c r="HU290" s="21"/>
      <c r="HV290" s="21"/>
      <c r="HW290" s="21"/>
      <c r="HX290" s="21"/>
      <c r="HY290" s="21"/>
      <c r="HZ290" s="21"/>
      <c r="IA290" s="21"/>
      <c r="IB290" s="21"/>
      <c r="IC290" s="21"/>
      <c r="ID290" s="21"/>
      <c r="IE290" s="168">
        <v>154</v>
      </c>
      <c r="IF290" s="168">
        <v>164</v>
      </c>
      <c r="IG290" s="21"/>
      <c r="IH290" s="21"/>
      <c r="II290" s="21"/>
      <c r="IJ290" s="21"/>
      <c r="IK290" s="21"/>
      <c r="IL290" s="21"/>
      <c r="IM290" s="21"/>
      <c r="IN290" s="21"/>
      <c r="IO290" s="21"/>
      <c r="IP290" s="21"/>
      <c r="IQ290" s="21"/>
      <c r="IR290" s="21"/>
      <c r="IS290" s="21"/>
      <c r="IT290" s="21"/>
      <c r="IU290" s="168">
        <v>589</v>
      </c>
      <c r="IV290" s="168">
        <v>68</v>
      </c>
      <c r="IW290" s="168">
        <v>628</v>
      </c>
      <c r="IX290" s="168">
        <v>106</v>
      </c>
      <c r="IY290" s="21"/>
      <c r="IZ290" s="21"/>
      <c r="JA290" s="21"/>
      <c r="JB290" s="21"/>
      <c r="JC290" s="21"/>
      <c r="JD290" s="21"/>
      <c r="JE290" s="21"/>
      <c r="JF290" s="21"/>
      <c r="JG290" s="21"/>
      <c r="JH290" s="21"/>
      <c r="JI290" s="21"/>
      <c r="JJ290" s="21"/>
      <c r="JK290" s="21"/>
      <c r="JL290" s="21"/>
      <c r="JM290" s="168">
        <v>628</v>
      </c>
      <c r="JN290" s="21"/>
      <c r="JO290" s="21"/>
      <c r="JP290" s="21"/>
      <c r="JQ290" s="21"/>
      <c r="JR290" s="21"/>
      <c r="JS290" s="21"/>
      <c r="JT290" s="21"/>
      <c r="JU290" s="21"/>
      <c r="JV290" s="21"/>
      <c r="JW290" s="168">
        <v>31970</v>
      </c>
      <c r="JX290" s="168">
        <v>30817</v>
      </c>
      <c r="JY290" s="21"/>
      <c r="JZ290" s="21"/>
      <c r="KA290" s="21"/>
      <c r="KB290" s="21"/>
      <c r="KC290" s="21"/>
      <c r="KD290" s="21"/>
      <c r="KE290" s="21"/>
      <c r="KF290" s="21"/>
      <c r="KG290" s="21"/>
      <c r="KH290" s="21"/>
      <c r="KI290" s="21"/>
      <c r="KJ290" s="21"/>
      <c r="KK290" s="21"/>
      <c r="KL290" s="21"/>
      <c r="KM290" s="21"/>
      <c r="KN290" s="21"/>
      <c r="KO290" s="21"/>
      <c r="KP290" s="21"/>
      <c r="KQ290" s="168">
        <v>1880</v>
      </c>
      <c r="KR290" s="168">
        <v>1248</v>
      </c>
      <c r="KS290" s="21"/>
      <c r="KT290" s="21"/>
      <c r="KU290" s="21"/>
      <c r="KV290" s="21"/>
      <c r="KW290" s="21"/>
      <c r="KX290" s="21"/>
      <c r="KY290" s="21"/>
      <c r="KZ290" s="21"/>
      <c r="LA290" s="168">
        <v>2299</v>
      </c>
      <c r="LB290" s="168">
        <v>2299</v>
      </c>
      <c r="LC290" s="21"/>
      <c r="LD290" s="21"/>
      <c r="LE290" s="21"/>
      <c r="LF290" s="21"/>
      <c r="LG290" s="21"/>
      <c r="LH290" s="21"/>
      <c r="LI290" s="21"/>
      <c r="LJ290" s="21"/>
      <c r="LK290" s="168">
        <v>1293</v>
      </c>
      <c r="LL290" s="168">
        <v>951</v>
      </c>
      <c r="LM290" s="21"/>
      <c r="LN290" s="21"/>
      <c r="LO290" s="21"/>
      <c r="LP290" s="21"/>
      <c r="LQ290" s="21"/>
      <c r="LR290" s="21"/>
      <c r="LS290" s="21"/>
      <c r="LT290" s="21"/>
      <c r="LU290" s="21"/>
      <c r="LV290" s="21"/>
      <c r="LW290" s="21"/>
      <c r="LX290" s="21"/>
      <c r="LY290" s="168">
        <v>71</v>
      </c>
      <c r="LZ290" s="168">
        <v>145</v>
      </c>
      <c r="MA290" s="21"/>
      <c r="MB290" s="21"/>
      <c r="MC290" s="168">
        <v>573</v>
      </c>
      <c r="MD290" s="168">
        <v>457</v>
      </c>
      <c r="ME290" s="21"/>
      <c r="MF290" s="21"/>
      <c r="MG290" s="21"/>
      <c r="MH290" s="21"/>
      <c r="MI290" s="168">
        <v>548</v>
      </c>
      <c r="MJ290" s="168">
        <v>548</v>
      </c>
      <c r="MK290" s="21"/>
      <c r="ML290" s="21"/>
      <c r="MM290" s="21"/>
      <c r="MN290" s="21"/>
      <c r="MO290" s="21"/>
      <c r="MP290" s="21"/>
      <c r="MQ290" s="21"/>
      <c r="MR290" s="21"/>
      <c r="MS290" s="21"/>
      <c r="MT290" s="21"/>
      <c r="MU290" s="21"/>
      <c r="MV290" s="21"/>
      <c r="MW290" s="21"/>
      <c r="MX290" s="21"/>
      <c r="MY290" s="21"/>
      <c r="MZ290" s="21"/>
      <c r="NA290" s="21"/>
      <c r="NB290" s="21"/>
      <c r="NC290" s="168">
        <v>315</v>
      </c>
      <c r="ND290" s="168">
        <v>30</v>
      </c>
      <c r="NE290" s="21"/>
      <c r="NF290" s="21"/>
      <c r="NG290" s="21"/>
      <c r="NH290" s="21"/>
      <c r="NI290" s="21"/>
      <c r="NJ290" s="21"/>
      <c r="NK290" s="21"/>
      <c r="NL290" s="21"/>
      <c r="NM290" s="21"/>
      <c r="NN290" s="21"/>
      <c r="NO290" s="168">
        <v>14637</v>
      </c>
      <c r="NP290" s="168">
        <v>14099</v>
      </c>
      <c r="NQ290" s="168" t="s">
        <v>1370</v>
      </c>
      <c r="NR290" s="168" t="s">
        <v>769</v>
      </c>
      <c r="NS290" s="168" t="s">
        <v>770</v>
      </c>
      <c r="NT290" s="168" t="s">
        <v>771</v>
      </c>
      <c r="NU290" s="168">
        <v>7001</v>
      </c>
      <c r="NV290" s="168" t="s">
        <v>2104</v>
      </c>
      <c r="NW290" s="168" t="s">
        <v>28</v>
      </c>
      <c r="NX290" s="168" t="s">
        <v>25</v>
      </c>
      <c r="NY290" s="169">
        <v>42766</v>
      </c>
      <c r="NZ290" s="169">
        <v>42400</v>
      </c>
      <c r="OA290" s="169">
        <v>42993</v>
      </c>
      <c r="OB290" s="168" t="s">
        <v>2498</v>
      </c>
      <c r="OC290" s="168">
        <v>12</v>
      </c>
      <c r="OD290" s="168" t="s">
        <v>2105</v>
      </c>
      <c r="OE290" s="168" t="s">
        <v>2232</v>
      </c>
      <c r="OF290" s="168" t="s">
        <v>2499</v>
      </c>
      <c r="OG290" s="168" t="s">
        <v>1989</v>
      </c>
      <c r="OH290" s="168" t="s">
        <v>815</v>
      </c>
      <c r="OI290" s="168" t="s">
        <v>766</v>
      </c>
      <c r="OJ290" s="168" t="s">
        <v>3240</v>
      </c>
      <c r="OK290" s="168" t="s">
        <v>767</v>
      </c>
    </row>
    <row r="291" spans="1:401" x14ac:dyDescent="0.2">
      <c r="A291" s="170" t="str">
        <f>Liste[[#This Row],[Siren]]</f>
        <v>430036509</v>
      </c>
      <c r="B291" s="198" t="str">
        <f>Liste[[#This Row],[Dénomination]]&amp;" - comptes "&amp;YEAR(Liste[[#This Row],[Date de cloture de l''exercice]])</f>
        <v>HOLDSOCAP - comptes 2017</v>
      </c>
      <c r="C291" s="21"/>
      <c r="D291" s="21"/>
      <c r="E291" s="21"/>
      <c r="F291" s="168">
        <v>1558087</v>
      </c>
      <c r="G291" s="168">
        <v>1151500</v>
      </c>
      <c r="H291" s="168">
        <v>1558087</v>
      </c>
      <c r="I291" s="168">
        <v>2624809</v>
      </c>
      <c r="J291" s="168">
        <v>736163</v>
      </c>
      <c r="K291" s="168">
        <v>556879</v>
      </c>
      <c r="L291" s="168">
        <v>3360972</v>
      </c>
      <c r="M291" s="21"/>
      <c r="N291" s="168">
        <v>3239</v>
      </c>
      <c r="O291" s="168">
        <v>3239</v>
      </c>
      <c r="P291" s="168">
        <v>3239</v>
      </c>
      <c r="Q291" s="21"/>
      <c r="R291" s="21"/>
      <c r="S291" s="21"/>
      <c r="T291" s="21"/>
      <c r="U291" s="21"/>
      <c r="V291" s="21"/>
      <c r="W291" s="21"/>
      <c r="X291" s="21"/>
      <c r="Y291" s="21"/>
      <c r="Z291" s="168">
        <v>22190</v>
      </c>
      <c r="AA291" s="168">
        <v>21923</v>
      </c>
      <c r="AB291" s="168">
        <v>22190</v>
      </c>
      <c r="AC291" s="21"/>
      <c r="AD291" s="21"/>
      <c r="AE291" s="21"/>
      <c r="AF291" s="21"/>
      <c r="AG291" s="21"/>
      <c r="AH291" s="21"/>
      <c r="AI291" s="21"/>
      <c r="AJ291" s="21"/>
      <c r="AK291" s="21"/>
      <c r="AL291" s="168">
        <v>233</v>
      </c>
      <c r="AM291" s="21"/>
      <c r="AN291" s="168">
        <v>233</v>
      </c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168">
        <v>195503</v>
      </c>
      <c r="BA291" s="168">
        <v>153898</v>
      </c>
      <c r="BB291" s="168">
        <v>195503</v>
      </c>
      <c r="BC291" s="168">
        <v>18949</v>
      </c>
      <c r="BD291" s="168">
        <v>426934</v>
      </c>
      <c r="BE291" s="168">
        <v>452360</v>
      </c>
      <c r="BF291" s="168">
        <v>445883</v>
      </c>
      <c r="BG291" s="168">
        <v>136740</v>
      </c>
      <c r="BH291" s="168">
        <v>43760</v>
      </c>
      <c r="BI291" s="168">
        <v>41770</v>
      </c>
      <c r="BJ291" s="168">
        <v>180500</v>
      </c>
      <c r="BK291" s="168">
        <v>8211472</v>
      </c>
      <c r="BL291" s="168">
        <v>3631971</v>
      </c>
      <c r="BM291" s="168">
        <v>1705135</v>
      </c>
      <c r="BN291" s="168">
        <v>11843443</v>
      </c>
      <c r="BO291" s="21"/>
      <c r="BP291" s="168">
        <v>38440</v>
      </c>
      <c r="BQ291" s="168">
        <v>38440</v>
      </c>
      <c r="BR291" s="168">
        <v>38440</v>
      </c>
      <c r="BS291" s="21"/>
      <c r="BT291" s="21"/>
      <c r="BU291" s="21"/>
      <c r="BV291" s="21"/>
      <c r="BW291" s="21"/>
      <c r="BX291" s="168">
        <v>4357057</v>
      </c>
      <c r="BY291" s="168">
        <v>3436868</v>
      </c>
      <c r="BZ291" s="168">
        <v>4357057</v>
      </c>
      <c r="CA291" s="21"/>
      <c r="CB291" s="21"/>
      <c r="CC291" s="21"/>
      <c r="CD291" s="168">
        <v>5028792</v>
      </c>
      <c r="CE291" s="168">
        <v>946015</v>
      </c>
      <c r="CF291" s="168">
        <v>1244755</v>
      </c>
      <c r="CG291" s="168">
        <v>5974807</v>
      </c>
      <c r="CH291" s="21"/>
      <c r="CI291" s="21"/>
      <c r="CJ291" s="21"/>
      <c r="CK291" s="21"/>
      <c r="CL291" s="21"/>
      <c r="CM291" s="21"/>
      <c r="CN291" s="21"/>
      <c r="CO291" s="21"/>
      <c r="CP291" s="21"/>
      <c r="CQ291" s="21"/>
      <c r="CR291" s="21"/>
      <c r="CS291" s="21"/>
      <c r="CT291" s="21"/>
      <c r="CU291" s="21"/>
      <c r="CV291" s="21"/>
      <c r="CW291" s="21"/>
      <c r="CX291" s="21"/>
      <c r="CY291" s="21"/>
      <c r="CZ291" s="21"/>
      <c r="DA291" s="21"/>
      <c r="DB291" s="21"/>
      <c r="DC291" s="168">
        <v>70616</v>
      </c>
      <c r="DD291" s="168">
        <v>531494</v>
      </c>
      <c r="DE291" s="168">
        <v>70616</v>
      </c>
      <c r="DF291" s="168">
        <v>2695913</v>
      </c>
      <c r="DG291" s="168">
        <v>957209</v>
      </c>
      <c r="DH291" s="168">
        <v>326579</v>
      </c>
      <c r="DI291" s="168">
        <v>3653122</v>
      </c>
      <c r="DJ291" s="168">
        <v>137952</v>
      </c>
      <c r="DK291" s="168">
        <v>4452628</v>
      </c>
      <c r="DL291" s="168">
        <v>4308775</v>
      </c>
      <c r="DM291" s="168">
        <v>4590580</v>
      </c>
      <c r="DN291" s="21"/>
      <c r="DO291" s="168">
        <v>1445</v>
      </c>
      <c r="DP291" s="168">
        <v>1445</v>
      </c>
      <c r="DQ291" s="168">
        <v>1445</v>
      </c>
      <c r="DR291" s="21"/>
      <c r="DS291" s="168">
        <v>714111</v>
      </c>
      <c r="DT291" s="168">
        <v>709522</v>
      </c>
      <c r="DU291" s="168">
        <v>714111</v>
      </c>
      <c r="DV291" s="21"/>
      <c r="DW291" s="21"/>
      <c r="DX291" s="21"/>
      <c r="DY291" s="21"/>
      <c r="DZ291" s="21"/>
      <c r="EA291" s="21"/>
      <c r="EB291" s="21"/>
      <c r="EC291" s="21"/>
      <c r="ED291" s="21"/>
      <c r="EE291" s="21"/>
      <c r="EF291" s="21"/>
      <c r="EG291" s="21"/>
      <c r="EH291" s="21"/>
      <c r="EI291" s="21"/>
      <c r="EJ291" s="21"/>
      <c r="EK291" s="168">
        <v>13668934</v>
      </c>
      <c r="EL291" s="168">
        <v>8144614</v>
      </c>
      <c r="EM291" s="168">
        <v>5861896</v>
      </c>
      <c r="EN291" s="168">
        <v>21813548</v>
      </c>
      <c r="EO291" s="168">
        <v>156901</v>
      </c>
      <c r="EP291" s="168">
        <v>10992561</v>
      </c>
      <c r="EQ291" s="168">
        <v>9579015</v>
      </c>
      <c r="ER291" s="168">
        <v>11149462</v>
      </c>
      <c r="ES291" s="168">
        <v>18854627</v>
      </c>
      <c r="ET291" s="168">
        <v>20083190</v>
      </c>
      <c r="EU291" s="168">
        <v>16685666</v>
      </c>
      <c r="EV291" s="168">
        <v>38937817</v>
      </c>
      <c r="EW291" s="21"/>
      <c r="EX291" s="168">
        <v>1926915</v>
      </c>
      <c r="EY291" s="168">
        <v>1926915</v>
      </c>
      <c r="EZ291" s="168">
        <v>1926915</v>
      </c>
      <c r="FA291" s="21"/>
      <c r="FB291" s="21"/>
      <c r="FC291" s="21"/>
      <c r="FD291" s="21"/>
      <c r="FE291" s="21"/>
      <c r="FF291" s="21"/>
      <c r="FG291" s="168">
        <v>755</v>
      </c>
      <c r="FH291" s="21"/>
      <c r="FI291" s="168">
        <v>773977</v>
      </c>
      <c r="FJ291" s="168">
        <v>5148</v>
      </c>
      <c r="FK291" s="21"/>
      <c r="FL291" s="21"/>
      <c r="FM291" s="168">
        <v>1942</v>
      </c>
      <c r="FN291" s="168">
        <v>4374</v>
      </c>
      <c r="FO291" s="168">
        <v>138318</v>
      </c>
      <c r="FP291" s="168">
        <v>3483</v>
      </c>
      <c r="FQ291" s="168">
        <v>298740</v>
      </c>
      <c r="FR291" s="168">
        <v>298740</v>
      </c>
      <c r="FS291" s="21"/>
      <c r="FT291" s="21"/>
      <c r="FU291" s="21"/>
      <c r="FV291" s="21"/>
      <c r="FW291" s="168">
        <v>248867</v>
      </c>
      <c r="FX291" s="168">
        <v>-2633</v>
      </c>
      <c r="FY291" s="168">
        <v>1464121</v>
      </c>
      <c r="FZ291" s="168">
        <v>1059801</v>
      </c>
      <c r="GA291" s="168">
        <v>371916</v>
      </c>
      <c r="GB291" s="168">
        <v>379730</v>
      </c>
      <c r="GC291" s="168">
        <v>3</v>
      </c>
      <c r="GD291" s="168">
        <v>4119</v>
      </c>
      <c r="GE291" s="168">
        <v>914234</v>
      </c>
      <c r="GF291" s="168">
        <v>8886</v>
      </c>
      <c r="GG291" s="21"/>
      <c r="GH291" s="21"/>
      <c r="GI291" s="21"/>
      <c r="GJ291" s="21"/>
      <c r="GK291" s="21"/>
      <c r="GL291" s="21"/>
      <c r="GM291" s="168">
        <v>1492839</v>
      </c>
      <c r="GN291" s="168">
        <v>1081050</v>
      </c>
      <c r="GO291" s="168">
        <v>1791579</v>
      </c>
      <c r="GP291" s="168">
        <v>1379790</v>
      </c>
      <c r="GQ291" s="21"/>
      <c r="GR291" s="21"/>
      <c r="GS291" s="168">
        <v>28718</v>
      </c>
      <c r="GT291" s="168">
        <v>21249</v>
      </c>
      <c r="GU291" s="168">
        <v>140260</v>
      </c>
      <c r="GV291" s="168">
        <v>7857</v>
      </c>
      <c r="GW291" s="168">
        <v>914237</v>
      </c>
      <c r="GX291" s="168">
        <v>13005</v>
      </c>
      <c r="GY291" s="168">
        <v>37172040</v>
      </c>
      <c r="GZ291" s="168">
        <v>37008772</v>
      </c>
      <c r="HA291" s="168">
        <v>72674</v>
      </c>
      <c r="HB291" s="168">
        <v>71056</v>
      </c>
      <c r="HC291" s="168">
        <v>4934206</v>
      </c>
      <c r="HD291" s="168">
        <v>4562324</v>
      </c>
      <c r="HE291" s="168">
        <v>1957</v>
      </c>
      <c r="HF291" s="168">
        <v>81778</v>
      </c>
      <c r="HG291" s="168">
        <v>34186</v>
      </c>
      <c r="HH291" s="168">
        <v>20981</v>
      </c>
      <c r="HI291" s="168">
        <v>256027</v>
      </c>
      <c r="HJ291" s="168">
        <v>239430</v>
      </c>
      <c r="HK291" s="21"/>
      <c r="HL291" s="21"/>
      <c r="HM291" s="21"/>
      <c r="HN291" s="21"/>
      <c r="HO291" s="168">
        <v>1163287</v>
      </c>
      <c r="HP291" s="168">
        <v>1073059</v>
      </c>
      <c r="HQ291" s="21"/>
      <c r="HR291" s="21"/>
      <c r="HS291" s="21"/>
      <c r="HT291" s="21"/>
      <c r="HU291" s="168">
        <v>650821</v>
      </c>
      <c r="HV291" s="168">
        <v>588987</v>
      </c>
      <c r="HW291" s="21"/>
      <c r="HX291" s="21"/>
      <c r="HY291" s="168">
        <v>96478</v>
      </c>
      <c r="HZ291" s="168">
        <v>96478</v>
      </c>
      <c r="IA291" s="168">
        <v>156901</v>
      </c>
      <c r="IB291" s="168">
        <v>187543</v>
      </c>
      <c r="IC291" s="21"/>
      <c r="ID291" s="21"/>
      <c r="IE291" s="168">
        <v>661364</v>
      </c>
      <c r="IF291" s="168">
        <v>648953</v>
      </c>
      <c r="IG291" s="168">
        <v>98827</v>
      </c>
      <c r="IH291" s="168">
        <v>80955</v>
      </c>
      <c r="II291" s="21"/>
      <c r="IJ291" s="21"/>
      <c r="IK291" s="21"/>
      <c r="IL291" s="21"/>
      <c r="IM291" s="21"/>
      <c r="IN291" s="21"/>
      <c r="IO291" s="168">
        <v>31786</v>
      </c>
      <c r="IP291" s="168">
        <v>41193</v>
      </c>
      <c r="IQ291" s="168">
        <v>7580</v>
      </c>
      <c r="IR291" s="168">
        <v>5602</v>
      </c>
      <c r="IS291" s="21"/>
      <c r="IT291" s="21"/>
      <c r="IU291" s="168">
        <v>1638385</v>
      </c>
      <c r="IV291" s="168">
        <v>1751739</v>
      </c>
      <c r="IW291" s="168">
        <v>1663660</v>
      </c>
      <c r="IX291" s="168">
        <v>1764918</v>
      </c>
      <c r="IY291" s="168">
        <v>-25275</v>
      </c>
      <c r="IZ291" s="168">
        <v>-13179</v>
      </c>
      <c r="JA291" s="168">
        <v>828436</v>
      </c>
      <c r="JB291" s="168">
        <v>463759</v>
      </c>
      <c r="JC291" s="21"/>
      <c r="JD291" s="21"/>
      <c r="JE291" s="168">
        <v>3583356</v>
      </c>
      <c r="JF291" s="168">
        <v>3315144</v>
      </c>
      <c r="JG291" s="21"/>
      <c r="JH291" s="21"/>
      <c r="JI291" s="168">
        <v>48376628</v>
      </c>
      <c r="JJ291" s="168">
        <v>47783253</v>
      </c>
      <c r="JK291" s="168">
        <v>98827</v>
      </c>
      <c r="JL291" s="168">
        <v>80955</v>
      </c>
      <c r="JM291" s="168">
        <v>1084463</v>
      </c>
      <c r="JN291" s="168">
        <v>703189</v>
      </c>
      <c r="JO291" s="168">
        <v>73552</v>
      </c>
      <c r="JP291" s="168">
        <v>67776</v>
      </c>
      <c r="JQ291" s="168">
        <v>-116456</v>
      </c>
      <c r="JR291" s="168">
        <v>149159</v>
      </c>
      <c r="JS291" s="21"/>
      <c r="JT291" s="21"/>
      <c r="JU291" s="21"/>
      <c r="JV291" s="21"/>
      <c r="JW291" s="168">
        <v>48955825</v>
      </c>
      <c r="JX291" s="168">
        <v>48844982</v>
      </c>
      <c r="JY291" s="21"/>
      <c r="JZ291" s="21"/>
      <c r="KA291" s="21"/>
      <c r="KB291" s="21"/>
      <c r="KC291" s="21"/>
      <c r="KD291" s="21"/>
      <c r="KE291" s="168">
        <v>431585</v>
      </c>
      <c r="KF291" s="168">
        <v>471227</v>
      </c>
      <c r="KG291" s="21"/>
      <c r="KH291" s="21"/>
      <c r="KI291" s="168">
        <v>48524240</v>
      </c>
      <c r="KJ291" s="168">
        <v>48373755</v>
      </c>
      <c r="KK291" s="21"/>
      <c r="KL291" s="21"/>
      <c r="KM291" s="21"/>
      <c r="KN291" s="21"/>
      <c r="KO291" s="21"/>
      <c r="KP291" s="21"/>
      <c r="KQ291" s="168">
        <v>336050</v>
      </c>
      <c r="KR291" s="168">
        <v>289883</v>
      </c>
      <c r="KS291" s="21"/>
      <c r="KT291" s="21"/>
      <c r="KU291" s="21"/>
      <c r="KV291" s="21"/>
      <c r="KW291" s="21"/>
      <c r="KX291" s="21"/>
      <c r="KY291" s="21"/>
      <c r="KZ291" s="21"/>
      <c r="LA291" s="168">
        <v>40000</v>
      </c>
      <c r="LB291" s="168">
        <v>40000</v>
      </c>
      <c r="LC291" s="21"/>
      <c r="LD291" s="21"/>
      <c r="LE291" s="21"/>
      <c r="LF291" s="21"/>
      <c r="LG291" s="21"/>
      <c r="LH291" s="21"/>
      <c r="LI291" s="168">
        <v>1333242</v>
      </c>
      <c r="LJ291" s="168">
        <v>1314185</v>
      </c>
      <c r="LK291" s="168">
        <v>3765667</v>
      </c>
      <c r="LL291" s="168">
        <v>3613043</v>
      </c>
      <c r="LM291" s="168">
        <v>1791</v>
      </c>
      <c r="LN291" s="168">
        <v>333787</v>
      </c>
      <c r="LO291" s="21"/>
      <c r="LP291" s="21"/>
      <c r="LQ291" s="21"/>
      <c r="LR291" s="21"/>
      <c r="LS291" s="21"/>
      <c r="LT291" s="21"/>
      <c r="LU291" s="21"/>
      <c r="LV291" s="21"/>
      <c r="LW291" s="21"/>
      <c r="LX291" s="21"/>
      <c r="LY291" s="21"/>
      <c r="LZ291" s="21"/>
      <c r="MA291" s="168">
        <v>3984276</v>
      </c>
      <c r="MB291" s="168">
        <v>1984222</v>
      </c>
      <c r="MC291" s="168">
        <v>2255104</v>
      </c>
      <c r="MD291" s="168">
        <v>1658643</v>
      </c>
      <c r="ME291" s="21"/>
      <c r="MF291" s="21"/>
      <c r="MG291" s="168">
        <v>386337</v>
      </c>
      <c r="MH291" s="168">
        <v>210210</v>
      </c>
      <c r="MI291" s="21"/>
      <c r="MJ291" s="21"/>
      <c r="MK291" s="21"/>
      <c r="ML291" s="21"/>
      <c r="MM291" s="168">
        <v>269894</v>
      </c>
      <c r="MN291" s="168">
        <v>2165</v>
      </c>
      <c r="MO291" s="21"/>
      <c r="MP291" s="21"/>
      <c r="MQ291" s="168">
        <v>96478</v>
      </c>
      <c r="MR291" s="168">
        <v>96478</v>
      </c>
      <c r="MS291" s="21"/>
      <c r="MT291" s="21"/>
      <c r="MU291" s="21"/>
      <c r="MV291" s="21"/>
      <c r="MW291" s="168">
        <v>4000</v>
      </c>
      <c r="MX291" s="168">
        <v>4000</v>
      </c>
      <c r="MY291" s="21"/>
      <c r="MZ291" s="21"/>
      <c r="NA291" s="168">
        <v>6050122</v>
      </c>
      <c r="NB291" s="168">
        <v>5990323</v>
      </c>
      <c r="NC291" s="168">
        <v>1464121</v>
      </c>
      <c r="ND291" s="168">
        <v>1059801</v>
      </c>
      <c r="NE291" s="21"/>
      <c r="NF291" s="21"/>
      <c r="NG291" s="168">
        <v>7558243</v>
      </c>
      <c r="NH291" s="168">
        <v>7094124</v>
      </c>
      <c r="NI291" s="168">
        <v>96108</v>
      </c>
      <c r="NJ291" s="168">
        <v>88926</v>
      </c>
      <c r="NK291" s="21"/>
      <c r="NL291" s="21"/>
      <c r="NM291" s="168">
        <v>11946024</v>
      </c>
      <c r="NN291" s="168">
        <v>9195928</v>
      </c>
      <c r="NO291" s="168">
        <v>20083190</v>
      </c>
      <c r="NP291" s="168">
        <v>16685666</v>
      </c>
      <c r="NQ291" s="168" t="s">
        <v>1234</v>
      </c>
      <c r="NR291" s="168" t="s">
        <v>769</v>
      </c>
      <c r="NS291" s="168" t="s">
        <v>770</v>
      </c>
      <c r="NT291" s="168" t="s">
        <v>771</v>
      </c>
      <c r="NU291" s="168">
        <v>4601</v>
      </c>
      <c r="NV291" s="168" t="s">
        <v>2104</v>
      </c>
      <c r="NW291" s="168" t="s">
        <v>28</v>
      </c>
      <c r="NX291" s="168" t="s">
        <v>25</v>
      </c>
      <c r="NY291" s="169">
        <v>42766</v>
      </c>
      <c r="NZ291" s="169">
        <v>42400</v>
      </c>
      <c r="OA291" s="169">
        <v>42940</v>
      </c>
      <c r="OB291" s="168" t="s">
        <v>1235</v>
      </c>
      <c r="OC291" s="168">
        <v>12</v>
      </c>
      <c r="OD291" s="168" t="s">
        <v>2105</v>
      </c>
      <c r="OE291" s="168" t="s">
        <v>2389</v>
      </c>
      <c r="OF291" s="168" t="s">
        <v>2390</v>
      </c>
      <c r="OG291" s="168" t="s">
        <v>1929</v>
      </c>
      <c r="OH291" s="168" t="s">
        <v>1078</v>
      </c>
      <c r="OI291" s="168" t="s">
        <v>766</v>
      </c>
      <c r="OJ291" s="168" t="s">
        <v>3240</v>
      </c>
      <c r="OK291" s="168" t="s">
        <v>767</v>
      </c>
    </row>
    <row r="292" spans="1:401" x14ac:dyDescent="0.2">
      <c r="A292" s="170" t="str">
        <f>Liste[[#This Row],[Siren]]</f>
        <v>334718962</v>
      </c>
      <c r="B292" s="198" t="str">
        <f>Liste[[#This Row],[Dénomination]]&amp;" - comptes "&amp;YEAR(Liste[[#This Row],[Date de cloture de l''exercice]])</f>
        <v>KAKI CRAZY - comptes 2017</v>
      </c>
      <c r="C292" s="21"/>
      <c r="D292" s="21"/>
      <c r="E292" s="21"/>
      <c r="F292" s="168">
        <v>5424508</v>
      </c>
      <c r="G292" s="168">
        <v>4989300</v>
      </c>
      <c r="H292" s="168">
        <v>5424508</v>
      </c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168">
        <v>343176</v>
      </c>
      <c r="BD292" s="168">
        <v>-51915</v>
      </c>
      <c r="BE292" s="168">
        <v>145942</v>
      </c>
      <c r="BF292" s="168">
        <v>291261</v>
      </c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168">
        <v>51779</v>
      </c>
      <c r="BY292" s="168">
        <v>45373</v>
      </c>
      <c r="BZ292" s="168">
        <v>51779</v>
      </c>
      <c r="CA292" s="21"/>
      <c r="CB292" s="21"/>
      <c r="CC292" s="21"/>
      <c r="CD292" s="168">
        <v>256232</v>
      </c>
      <c r="CE292" s="168">
        <v>384349</v>
      </c>
      <c r="CF292" s="168">
        <v>384349</v>
      </c>
      <c r="CG292" s="168">
        <v>640581</v>
      </c>
      <c r="CH292" s="21"/>
      <c r="CI292" s="21"/>
      <c r="CJ292" s="21"/>
      <c r="CK292" s="21"/>
      <c r="CL292" s="21"/>
      <c r="CM292" s="21"/>
      <c r="CN292" s="21"/>
      <c r="CO292" s="21"/>
      <c r="CP292" s="21"/>
      <c r="CQ292" s="21"/>
      <c r="CR292" s="21"/>
      <c r="CS292" s="21"/>
      <c r="CT292" s="21"/>
      <c r="CU292" s="21"/>
      <c r="CV292" s="21"/>
      <c r="CW292" s="21"/>
      <c r="CX292" s="21"/>
      <c r="CY292" s="21"/>
      <c r="CZ292" s="21"/>
      <c r="DA292" s="21"/>
      <c r="DB292" s="21"/>
      <c r="DC292" s="21"/>
      <c r="DD292" s="21"/>
      <c r="DE292" s="21"/>
      <c r="DF292" s="21"/>
      <c r="DG292" s="21"/>
      <c r="DH292" s="21"/>
      <c r="DI292" s="21"/>
      <c r="DJ292" s="21"/>
      <c r="DK292" s="21"/>
      <c r="DL292" s="21"/>
      <c r="DM292" s="21"/>
      <c r="DN292" s="21"/>
      <c r="DO292" s="21"/>
      <c r="DP292" s="21"/>
      <c r="DQ292" s="21"/>
      <c r="DR292" s="21"/>
      <c r="DS292" s="21"/>
      <c r="DT292" s="21"/>
      <c r="DU292" s="21"/>
      <c r="DV292" s="21"/>
      <c r="DW292" s="21"/>
      <c r="DX292" s="21"/>
      <c r="DY292" s="21"/>
      <c r="DZ292" s="21"/>
      <c r="EA292" s="21"/>
      <c r="EB292" s="21"/>
      <c r="EC292" s="21"/>
      <c r="ED292" s="21"/>
      <c r="EE292" s="21"/>
      <c r="EF292" s="21"/>
      <c r="EG292" s="21"/>
      <c r="EH292" s="21"/>
      <c r="EI292" s="21"/>
      <c r="EJ292" s="21"/>
      <c r="EK292" s="168">
        <v>18157179</v>
      </c>
      <c r="EL292" s="168">
        <v>14431171</v>
      </c>
      <c r="EM292" s="168">
        <v>15683007</v>
      </c>
      <c r="EN292" s="168">
        <v>32588350</v>
      </c>
      <c r="EO292" s="168">
        <v>1818149</v>
      </c>
      <c r="EP292" s="168">
        <v>20747300</v>
      </c>
      <c r="EQ292" s="168">
        <v>19474166</v>
      </c>
      <c r="ER292" s="168">
        <v>22565449</v>
      </c>
      <c r="ES292" s="168">
        <v>19975328</v>
      </c>
      <c r="ET292" s="168">
        <v>35178471</v>
      </c>
      <c r="EU292" s="168">
        <v>35157173</v>
      </c>
      <c r="EV292" s="168">
        <v>55153799</v>
      </c>
      <c r="EW292" s="21"/>
      <c r="EX292" s="21"/>
      <c r="EY292" s="21"/>
      <c r="EZ292" s="21"/>
      <c r="FA292" s="21"/>
      <c r="FB292" s="21"/>
      <c r="FC292" s="21"/>
      <c r="FD292" s="21"/>
      <c r="FE292" s="21"/>
      <c r="FF292" s="21"/>
      <c r="FG292" s="21"/>
      <c r="FH292" s="21"/>
      <c r="FI292" s="168">
        <v>-201913</v>
      </c>
      <c r="FJ292" s="168">
        <v>99596</v>
      </c>
      <c r="FK292" s="21"/>
      <c r="FL292" s="21"/>
      <c r="FM292" s="21"/>
      <c r="FN292" s="21"/>
      <c r="FO292" s="21"/>
      <c r="FP292" s="21"/>
      <c r="FQ292" s="21"/>
      <c r="FR292" s="21"/>
      <c r="FS292" s="21"/>
      <c r="FT292" s="21"/>
      <c r="FU292" s="21"/>
      <c r="FV292" s="21"/>
      <c r="FW292" s="168">
        <v>41880</v>
      </c>
      <c r="FX292" s="168">
        <v>-16624</v>
      </c>
      <c r="FY292" s="168">
        <v>41880</v>
      </c>
      <c r="FZ292" s="168">
        <v>-16624</v>
      </c>
      <c r="GA292" s="21"/>
      <c r="GB292" s="21"/>
      <c r="GC292" s="21"/>
      <c r="GD292" s="21"/>
      <c r="GE292" s="21"/>
      <c r="GF292" s="21"/>
      <c r="GG292" s="21"/>
      <c r="GH292" s="21"/>
      <c r="GI292" s="21"/>
      <c r="GJ292" s="21"/>
      <c r="GK292" s="21"/>
      <c r="GL292" s="21"/>
      <c r="GM292" s="168">
        <v>42222</v>
      </c>
      <c r="GN292" s="168">
        <v>42946</v>
      </c>
      <c r="GO292" s="168">
        <v>84102</v>
      </c>
      <c r="GP292" s="168">
        <v>90380</v>
      </c>
      <c r="GQ292" s="21"/>
      <c r="GR292" s="21"/>
      <c r="GS292" s="21"/>
      <c r="GT292" s="21"/>
      <c r="GU292" s="21"/>
      <c r="GV292" s="21"/>
      <c r="GW292" s="21"/>
      <c r="GX292" s="21"/>
      <c r="GY292" s="21"/>
      <c r="GZ292" s="21"/>
      <c r="HA292" s="21"/>
      <c r="HB292" s="21"/>
      <c r="HC292" s="21"/>
      <c r="HD292" s="21"/>
      <c r="HE292" s="21"/>
      <c r="HF292" s="21"/>
      <c r="HG292" s="21"/>
      <c r="HH292" s="21"/>
      <c r="HI292" s="168">
        <v>1606233</v>
      </c>
      <c r="HJ292" s="168">
        <v>1436730</v>
      </c>
      <c r="HK292" s="21"/>
      <c r="HL292" s="21"/>
      <c r="HM292" s="21"/>
      <c r="HN292" s="21"/>
      <c r="HO292" s="168">
        <v>7421184</v>
      </c>
      <c r="HP292" s="168">
        <v>7224567</v>
      </c>
      <c r="HQ292" s="21"/>
      <c r="HR292" s="21"/>
      <c r="HS292" s="21"/>
      <c r="HT292" s="21"/>
      <c r="HU292" s="168">
        <v>3571612</v>
      </c>
      <c r="HV292" s="168">
        <v>3506872</v>
      </c>
      <c r="HW292" s="21"/>
      <c r="HX292" s="21"/>
      <c r="HY292" s="21"/>
      <c r="HZ292" s="21"/>
      <c r="IA292" s="21"/>
      <c r="IB292" s="21"/>
      <c r="IC292" s="21"/>
      <c r="ID292" s="21"/>
      <c r="IE292" s="168">
        <v>310420</v>
      </c>
      <c r="IF292" s="168">
        <v>345780</v>
      </c>
      <c r="IG292" s="21"/>
      <c r="IH292" s="21"/>
      <c r="II292" s="21"/>
      <c r="IJ292" s="21"/>
      <c r="IK292" s="21"/>
      <c r="IL292" s="21"/>
      <c r="IM292" s="21"/>
      <c r="IN292" s="21"/>
      <c r="IO292" s="21"/>
      <c r="IP292" s="21"/>
      <c r="IQ292" s="21"/>
      <c r="IR292" s="21"/>
      <c r="IS292" s="21"/>
      <c r="IT292" s="21"/>
      <c r="IU292" s="168">
        <v>91373</v>
      </c>
      <c r="IV292" s="168">
        <v>-165232</v>
      </c>
      <c r="IW292" s="168">
        <v>564672</v>
      </c>
      <c r="IX292" s="168">
        <v>335603</v>
      </c>
      <c r="IY292" s="168">
        <v>-473299</v>
      </c>
      <c r="IZ292" s="168">
        <v>-500835</v>
      </c>
      <c r="JA292" s="21"/>
      <c r="JB292" s="21"/>
      <c r="JC292" s="21"/>
      <c r="JD292" s="21"/>
      <c r="JE292" s="21"/>
      <c r="JF292" s="21"/>
      <c r="JG292" s="21"/>
      <c r="JH292" s="21"/>
      <c r="JI292" s="168">
        <v>40396054</v>
      </c>
      <c r="JJ292" s="168">
        <v>39546009</v>
      </c>
      <c r="JK292" s="168">
        <v>473879</v>
      </c>
      <c r="JL292" s="168">
        <v>517506</v>
      </c>
      <c r="JM292" s="168">
        <v>40960726</v>
      </c>
      <c r="JN292" s="168">
        <v>39881612</v>
      </c>
      <c r="JO292" s="168">
        <v>580</v>
      </c>
      <c r="JP292" s="168">
        <v>16673</v>
      </c>
      <c r="JQ292" s="21"/>
      <c r="JR292" s="168">
        <v>80</v>
      </c>
      <c r="JS292" s="21"/>
      <c r="JT292" s="21"/>
      <c r="JU292" s="21"/>
      <c r="JV292" s="21"/>
      <c r="JW292" s="168">
        <v>39352493</v>
      </c>
      <c r="JX292" s="168">
        <v>38444882</v>
      </c>
      <c r="JY292" s="21"/>
      <c r="JZ292" s="21"/>
      <c r="KA292" s="21"/>
      <c r="KB292" s="21"/>
      <c r="KC292" s="21"/>
      <c r="KD292" s="21"/>
      <c r="KE292" s="21"/>
      <c r="KF292" s="21"/>
      <c r="KG292" s="168">
        <v>80</v>
      </c>
      <c r="KH292" s="21"/>
      <c r="KI292" s="21"/>
      <c r="KJ292" s="21"/>
      <c r="KK292" s="21"/>
      <c r="KL292" s="21"/>
      <c r="KM292" s="21"/>
      <c r="KN292" s="21"/>
      <c r="KO292" s="21"/>
      <c r="KP292" s="21"/>
      <c r="KQ292" s="21"/>
      <c r="KR292" s="21"/>
      <c r="KS292" s="21"/>
      <c r="KT292" s="21"/>
      <c r="KU292" s="21"/>
      <c r="KV292" s="21"/>
      <c r="KW292" s="21"/>
      <c r="KX292" s="21"/>
      <c r="KY292" s="21"/>
      <c r="KZ292" s="21"/>
      <c r="LA292" s="168">
        <v>1000000</v>
      </c>
      <c r="LB292" s="168">
        <v>1000000</v>
      </c>
      <c r="LC292" s="21"/>
      <c r="LD292" s="21"/>
      <c r="LE292" s="21"/>
      <c r="LF292" s="21"/>
      <c r="LG292" s="21"/>
      <c r="LH292" s="21"/>
      <c r="LI292" s="21"/>
      <c r="LJ292" s="21"/>
      <c r="LK292" s="168">
        <v>10371776</v>
      </c>
      <c r="LL292" s="168">
        <v>9169393</v>
      </c>
      <c r="LM292" s="21"/>
      <c r="LN292" s="21"/>
      <c r="LO292" s="21"/>
      <c r="LP292" s="21"/>
      <c r="LQ292" s="21"/>
      <c r="LR292" s="21"/>
      <c r="LS292" s="21"/>
      <c r="LT292" s="21"/>
      <c r="LU292" s="21"/>
      <c r="LV292" s="21"/>
      <c r="LW292" s="21"/>
      <c r="LX292" s="21"/>
      <c r="LY292" s="21"/>
      <c r="LZ292" s="21"/>
      <c r="MA292" s="21"/>
      <c r="MB292" s="21"/>
      <c r="MC292" s="168">
        <v>17852866</v>
      </c>
      <c r="MD292" s="168">
        <v>19162154</v>
      </c>
      <c r="ME292" s="21"/>
      <c r="MF292" s="21"/>
      <c r="MG292" s="21"/>
      <c r="MH292" s="21"/>
      <c r="MI292" s="168">
        <v>180504</v>
      </c>
      <c r="MJ292" s="168">
        <v>180504</v>
      </c>
      <c r="MK292" s="21"/>
      <c r="ML292" s="21"/>
      <c r="MM292" s="21"/>
      <c r="MN292" s="21"/>
      <c r="MO292" s="21"/>
      <c r="MP292" s="21"/>
      <c r="MQ292" s="21"/>
      <c r="MR292" s="21"/>
      <c r="MS292" s="21"/>
      <c r="MT292" s="21"/>
      <c r="MU292" s="21"/>
      <c r="MV292" s="21"/>
      <c r="MW292" s="168">
        <v>4211728</v>
      </c>
      <c r="MX292" s="168">
        <v>3968811</v>
      </c>
      <c r="MY292" s="21"/>
      <c r="MZ292" s="21"/>
      <c r="NA292" s="21"/>
      <c r="NB292" s="21"/>
      <c r="NC292" s="168">
        <v>42222</v>
      </c>
      <c r="ND292" s="168">
        <v>42946</v>
      </c>
      <c r="NE292" s="168">
        <v>203940</v>
      </c>
      <c r="NF292" s="168">
        <v>305450</v>
      </c>
      <c r="NG292" s="168">
        <v>5638394</v>
      </c>
      <c r="NH292" s="168">
        <v>5497711</v>
      </c>
      <c r="NI292" s="21"/>
      <c r="NJ292" s="21"/>
      <c r="NK292" s="168">
        <v>-261335</v>
      </c>
      <c r="NL292" s="168">
        <v>-347730</v>
      </c>
      <c r="NM292" s="168">
        <v>29753397</v>
      </c>
      <c r="NN292" s="168">
        <v>29959177</v>
      </c>
      <c r="NO292" s="168">
        <v>35178471</v>
      </c>
      <c r="NP292" s="168">
        <v>35157173</v>
      </c>
      <c r="NQ292" s="168" t="s">
        <v>1257</v>
      </c>
      <c r="NR292" s="168" t="s">
        <v>1148</v>
      </c>
      <c r="NS292" s="168" t="s">
        <v>770</v>
      </c>
      <c r="NT292" s="168" t="s">
        <v>771</v>
      </c>
      <c r="NU292" s="168">
        <v>3501</v>
      </c>
      <c r="NV292" s="168" t="s">
        <v>2104</v>
      </c>
      <c r="NW292" s="168" t="s">
        <v>28</v>
      </c>
      <c r="NX292" s="168" t="s">
        <v>25</v>
      </c>
      <c r="NY292" s="169">
        <v>42766</v>
      </c>
      <c r="NZ292" s="169">
        <v>42400</v>
      </c>
      <c r="OA292" s="169">
        <v>43032</v>
      </c>
      <c r="OB292" s="168" t="s">
        <v>1258</v>
      </c>
      <c r="OC292" s="168">
        <v>12</v>
      </c>
      <c r="OD292" s="168" t="s">
        <v>2105</v>
      </c>
      <c r="OE292" s="168" t="s">
        <v>2405</v>
      </c>
      <c r="OF292" s="168" t="s">
        <v>2406</v>
      </c>
      <c r="OG292" s="168" t="s">
        <v>1939</v>
      </c>
      <c r="OH292" s="168" t="s">
        <v>834</v>
      </c>
      <c r="OI292" s="168" t="s">
        <v>766</v>
      </c>
      <c r="OJ292" s="168" t="s">
        <v>3240</v>
      </c>
      <c r="OK292" s="168" t="s">
        <v>1147</v>
      </c>
    </row>
    <row r="293" spans="1:401" x14ac:dyDescent="0.2">
      <c r="A293" s="170" t="str">
        <f>Liste[[#This Row],[Siren]]</f>
        <v>418691341</v>
      </c>
      <c r="B293" s="198" t="str">
        <f>Liste[[#This Row],[Dénomination]]&amp;" - comptes "&amp;YEAR(Liste[[#This Row],[Date de cloture de l''exercice]])</f>
        <v>KERSEGAL - comptes 2017</v>
      </c>
      <c r="C293" s="21"/>
      <c r="D293" s="21"/>
      <c r="E293" s="21"/>
      <c r="F293" s="168">
        <v>343000</v>
      </c>
      <c r="G293" s="168">
        <v>206000</v>
      </c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168">
        <v>86000</v>
      </c>
      <c r="BA293" s="168">
        <v>48000</v>
      </c>
      <c r="BB293" s="21"/>
      <c r="BC293" s="21"/>
      <c r="BD293" s="168">
        <v>172000</v>
      </c>
      <c r="BE293" s="168">
        <v>124000</v>
      </c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168">
        <v>5635000</v>
      </c>
      <c r="BY293" s="168">
        <v>4822000</v>
      </c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  <c r="CJ293" s="21"/>
      <c r="CK293" s="21"/>
      <c r="CL293" s="21"/>
      <c r="CM293" s="21"/>
      <c r="CN293" s="21"/>
      <c r="CO293" s="21"/>
      <c r="CP293" s="21"/>
      <c r="CQ293" s="21"/>
      <c r="CR293" s="21"/>
      <c r="CS293" s="21"/>
      <c r="CT293" s="21"/>
      <c r="CU293" s="21"/>
      <c r="CV293" s="21"/>
      <c r="CW293" s="21"/>
      <c r="CX293" s="21"/>
      <c r="CY293" s="21"/>
      <c r="CZ293" s="21"/>
      <c r="DA293" s="21"/>
      <c r="DB293" s="21"/>
      <c r="DC293" s="21"/>
      <c r="DD293" s="21"/>
      <c r="DE293" s="21"/>
      <c r="DF293" s="21"/>
      <c r="DG293" s="21"/>
      <c r="DH293" s="21"/>
      <c r="DI293" s="21"/>
      <c r="DJ293" s="21"/>
      <c r="DK293" s="21"/>
      <c r="DL293" s="21"/>
      <c r="DM293" s="21"/>
      <c r="DN293" s="21"/>
      <c r="DO293" s="21"/>
      <c r="DP293" s="21"/>
      <c r="DQ293" s="21"/>
      <c r="DR293" s="21"/>
      <c r="DS293" s="21"/>
      <c r="DT293" s="21"/>
      <c r="DU293" s="21"/>
      <c r="DV293" s="21"/>
      <c r="DW293" s="21"/>
      <c r="DX293" s="21"/>
      <c r="DY293" s="21"/>
      <c r="DZ293" s="21"/>
      <c r="EA293" s="21"/>
      <c r="EB293" s="21"/>
      <c r="EC293" s="21"/>
      <c r="ED293" s="21"/>
      <c r="EE293" s="21"/>
      <c r="EF293" s="21"/>
      <c r="EG293" s="21"/>
      <c r="EH293" s="21"/>
      <c r="EI293" s="21"/>
      <c r="EJ293" s="21"/>
      <c r="EK293" s="21"/>
      <c r="EL293" s="168">
        <v>5657000</v>
      </c>
      <c r="EM293" s="168">
        <v>5632000</v>
      </c>
      <c r="EN293" s="21"/>
      <c r="EO293" s="21"/>
      <c r="EP293" s="168">
        <v>10339000</v>
      </c>
      <c r="EQ293" s="168">
        <v>10507000</v>
      </c>
      <c r="ER293" s="21"/>
      <c r="ES293" s="21"/>
      <c r="ET293" s="168">
        <v>15997000</v>
      </c>
      <c r="EU293" s="168">
        <v>16139000</v>
      </c>
      <c r="EV293" s="21"/>
      <c r="EW293" s="21"/>
      <c r="EX293" s="21"/>
      <c r="EY293" s="21"/>
      <c r="EZ293" s="21"/>
      <c r="FA293" s="21"/>
      <c r="FB293" s="21"/>
      <c r="FC293" s="21"/>
      <c r="FD293" s="21"/>
      <c r="FE293" s="21"/>
      <c r="FF293" s="168">
        <v>1700000</v>
      </c>
      <c r="FG293" s="168">
        <v>3100000</v>
      </c>
      <c r="FH293" s="21"/>
      <c r="FI293" s="168">
        <v>-7000</v>
      </c>
      <c r="FJ293" s="168">
        <v>15000</v>
      </c>
      <c r="FK293" s="21"/>
      <c r="FL293" s="21"/>
      <c r="FM293" s="21"/>
      <c r="FN293" s="21"/>
      <c r="FO293" s="21"/>
      <c r="FP293" s="21"/>
      <c r="FQ293" s="21"/>
      <c r="FR293" s="21"/>
      <c r="FS293" s="21"/>
      <c r="FT293" s="21"/>
      <c r="FU293" s="21"/>
      <c r="FV293" s="21"/>
      <c r="FW293" s="168">
        <v>-347000</v>
      </c>
      <c r="FX293" s="168">
        <v>-363000</v>
      </c>
      <c r="FY293" s="21"/>
      <c r="FZ293" s="21"/>
      <c r="GA293" s="21"/>
      <c r="GB293" s="21"/>
      <c r="GC293" s="21"/>
      <c r="GD293" s="21"/>
      <c r="GE293" s="21"/>
      <c r="GF293" s="21"/>
      <c r="GG293" s="21"/>
      <c r="GH293" s="21"/>
      <c r="GI293" s="21"/>
      <c r="GJ293" s="21"/>
      <c r="GK293" s="21"/>
      <c r="GL293" s="21"/>
      <c r="GM293" s="168">
        <v>1056000</v>
      </c>
      <c r="GN293" s="168">
        <v>1076000</v>
      </c>
      <c r="GO293" s="21"/>
      <c r="GP293" s="21"/>
      <c r="GQ293" s="21"/>
      <c r="GR293" s="21"/>
      <c r="GS293" s="21"/>
      <c r="GT293" s="21"/>
      <c r="GU293" s="168">
        <v>-46000</v>
      </c>
      <c r="GV293" s="168">
        <v>-34000</v>
      </c>
      <c r="GW293" s="168">
        <v>39000</v>
      </c>
      <c r="GX293" s="168">
        <v>50000</v>
      </c>
      <c r="GY293" s="21"/>
      <c r="GZ293" s="21"/>
      <c r="HA293" s="21"/>
      <c r="HB293" s="21"/>
      <c r="HC293" s="168">
        <v>-1643000</v>
      </c>
      <c r="HD293" s="168">
        <v>-1509000</v>
      </c>
      <c r="HE293" s="168">
        <v>-20000</v>
      </c>
      <c r="HF293" s="168">
        <v>-3000</v>
      </c>
      <c r="HG293" s="21"/>
      <c r="HH293" s="21"/>
      <c r="HI293" s="168">
        <v>15000</v>
      </c>
      <c r="HJ293" s="168">
        <v>18000</v>
      </c>
      <c r="HK293" s="21"/>
      <c r="HL293" s="21"/>
      <c r="HM293" s="21"/>
      <c r="HN293" s="21"/>
      <c r="HO293" s="21"/>
      <c r="HP293" s="21"/>
      <c r="HQ293" s="21"/>
      <c r="HR293" s="21"/>
      <c r="HS293" s="21"/>
      <c r="HT293" s="21"/>
      <c r="HU293" s="21"/>
      <c r="HV293" s="21"/>
      <c r="HW293" s="21"/>
      <c r="HX293" s="21"/>
      <c r="HY293" s="21"/>
      <c r="HZ293" s="21"/>
      <c r="IA293" s="21"/>
      <c r="IB293" s="21"/>
      <c r="IC293" s="21"/>
      <c r="ID293" s="21"/>
      <c r="IE293" s="168">
        <v>-386000</v>
      </c>
      <c r="IF293" s="168">
        <v>-370000</v>
      </c>
      <c r="IG293" s="21"/>
      <c r="IH293" s="21"/>
      <c r="II293" s="21"/>
      <c r="IJ293" s="21"/>
      <c r="IK293" s="21"/>
      <c r="IL293" s="21"/>
      <c r="IM293" s="21"/>
      <c r="IN293" s="21"/>
      <c r="IO293" s="21"/>
      <c r="IP293" s="21"/>
      <c r="IQ293" s="21"/>
      <c r="IR293" s="21"/>
      <c r="IS293" s="21"/>
      <c r="IT293" s="21"/>
      <c r="IU293" s="168">
        <v>1410000</v>
      </c>
      <c r="IV293" s="168">
        <v>1424000</v>
      </c>
      <c r="IW293" s="168">
        <v>1411000</v>
      </c>
      <c r="IX293" s="168">
        <v>1410000</v>
      </c>
      <c r="IY293" s="168">
        <v>-1000</v>
      </c>
      <c r="IZ293" s="168">
        <v>13000</v>
      </c>
      <c r="JA293" s="168">
        <v>30000</v>
      </c>
      <c r="JB293" s="168">
        <v>19000</v>
      </c>
      <c r="JC293" s="21"/>
      <c r="JD293" s="21"/>
      <c r="JE293" s="21"/>
      <c r="JF293" s="21"/>
      <c r="JG293" s="21"/>
      <c r="JH293" s="21"/>
      <c r="JI293" s="21"/>
      <c r="JJ293" s="21"/>
      <c r="JK293" s="168">
        <v>-67000</v>
      </c>
      <c r="JL293" s="168">
        <v>-83000</v>
      </c>
      <c r="JM293" s="168">
        <v>33202000</v>
      </c>
      <c r="JN293" s="168">
        <v>31902000</v>
      </c>
      <c r="JO293" s="168">
        <v>66000</v>
      </c>
      <c r="JP293" s="168">
        <v>96000</v>
      </c>
      <c r="JQ293" s="21"/>
      <c r="JR293" s="21"/>
      <c r="JS293" s="21"/>
      <c r="JT293" s="21"/>
      <c r="JU293" s="21"/>
      <c r="JV293" s="21"/>
      <c r="JW293" s="168">
        <v>33157000</v>
      </c>
      <c r="JX293" s="168">
        <v>31865000</v>
      </c>
      <c r="JY293" s="21"/>
      <c r="JZ293" s="21"/>
      <c r="KA293" s="21"/>
      <c r="KB293" s="21"/>
      <c r="KC293" s="21"/>
      <c r="KD293" s="21"/>
      <c r="KE293" s="21"/>
      <c r="KF293" s="21"/>
      <c r="KG293" s="21"/>
      <c r="KH293" s="21"/>
      <c r="KI293" s="21"/>
      <c r="KJ293" s="21"/>
      <c r="KK293" s="21"/>
      <c r="KL293" s="21"/>
      <c r="KM293" s="21"/>
      <c r="KN293" s="21"/>
      <c r="KO293" s="21"/>
      <c r="KP293" s="21"/>
      <c r="KQ293" s="168">
        <v>26000</v>
      </c>
      <c r="KR293" s="168">
        <v>23000</v>
      </c>
      <c r="KS293" s="21"/>
      <c r="KT293" s="21"/>
      <c r="KU293" s="21"/>
      <c r="KV293" s="21"/>
      <c r="KW293" s="21"/>
      <c r="KX293" s="21"/>
      <c r="KY293" s="21"/>
      <c r="KZ293" s="21"/>
      <c r="LA293" s="168">
        <v>4000000</v>
      </c>
      <c r="LB293" s="168">
        <v>4000000</v>
      </c>
      <c r="LC293" s="21"/>
      <c r="LD293" s="21"/>
      <c r="LE293" s="21"/>
      <c r="LF293" s="21"/>
      <c r="LG293" s="21"/>
      <c r="LH293" s="21"/>
      <c r="LI293" s="168">
        <v>908000</v>
      </c>
      <c r="LJ293" s="168">
        <v>906000</v>
      </c>
      <c r="LK293" s="168">
        <v>1925000</v>
      </c>
      <c r="LL293" s="168">
        <v>1738000</v>
      </c>
      <c r="LM293" s="21"/>
      <c r="LN293" s="21"/>
      <c r="LO293" s="21"/>
      <c r="LP293" s="21"/>
      <c r="LQ293" s="21"/>
      <c r="LR293" s="21"/>
      <c r="LS293" s="21"/>
      <c r="LT293" s="21"/>
      <c r="LU293" s="21"/>
      <c r="LV293" s="21"/>
      <c r="LW293" s="21"/>
      <c r="LX293" s="21"/>
      <c r="LY293" s="21"/>
      <c r="LZ293" s="21"/>
      <c r="MA293" s="168">
        <v>3979000</v>
      </c>
      <c r="MB293" s="168">
        <v>3932000</v>
      </c>
      <c r="MC293" s="21"/>
      <c r="MD293" s="21"/>
      <c r="ME293" s="21"/>
      <c r="MF293" s="21"/>
      <c r="MG293" s="21"/>
      <c r="MH293" s="21"/>
      <c r="MI293" s="168">
        <v>1970000</v>
      </c>
      <c r="MJ293" s="168">
        <v>1970000</v>
      </c>
      <c r="MK293" s="21"/>
      <c r="ML293" s="21"/>
      <c r="MM293" s="21"/>
      <c r="MN293" s="21"/>
      <c r="MO293" s="21"/>
      <c r="MP293" s="21"/>
      <c r="MQ293" s="21"/>
      <c r="MR293" s="21"/>
      <c r="MS293" s="21"/>
      <c r="MT293" s="21"/>
      <c r="MU293" s="21"/>
      <c r="MV293" s="21"/>
      <c r="MW293" s="21"/>
      <c r="MX293" s="21"/>
      <c r="MY293" s="21"/>
      <c r="MZ293" s="21"/>
      <c r="NA293" s="21"/>
      <c r="NB293" s="21"/>
      <c r="NC293" s="168">
        <v>1056000</v>
      </c>
      <c r="ND293" s="168">
        <v>1076000</v>
      </c>
      <c r="NE293" s="21"/>
      <c r="NF293" s="21"/>
      <c r="NG293" s="168">
        <v>9025000</v>
      </c>
      <c r="NH293" s="168">
        <v>9419000</v>
      </c>
      <c r="NI293" s="21"/>
      <c r="NJ293" s="21"/>
      <c r="NK293" s="21"/>
      <c r="NL293" s="21"/>
      <c r="NM293" s="168">
        <v>6839000</v>
      </c>
      <c r="NN293" s="168">
        <v>6599000</v>
      </c>
      <c r="NO293" s="168">
        <v>15997000</v>
      </c>
      <c r="NP293" s="168">
        <v>16139000</v>
      </c>
      <c r="NQ293" s="168" t="s">
        <v>1445</v>
      </c>
      <c r="NR293" s="168" t="s">
        <v>823</v>
      </c>
      <c r="NS293" s="168" t="s">
        <v>770</v>
      </c>
      <c r="NT293" s="168" t="s">
        <v>771</v>
      </c>
      <c r="NU293" s="168">
        <v>5601</v>
      </c>
      <c r="NV293" s="168" t="s">
        <v>2104</v>
      </c>
      <c r="NW293" s="168" t="s">
        <v>28</v>
      </c>
      <c r="NX293" s="168" t="s">
        <v>25</v>
      </c>
      <c r="NY293" s="169">
        <v>42766</v>
      </c>
      <c r="NZ293" s="169">
        <v>42400</v>
      </c>
      <c r="OA293" s="169">
        <v>42993</v>
      </c>
      <c r="OB293" s="168" t="s">
        <v>1446</v>
      </c>
      <c r="OC293" s="168">
        <v>12</v>
      </c>
      <c r="OD293" s="168" t="s">
        <v>2105</v>
      </c>
      <c r="OE293" s="168" t="s">
        <v>2382</v>
      </c>
      <c r="OF293" s="168" t="s">
        <v>2547</v>
      </c>
      <c r="OG293" s="168" t="s">
        <v>2022</v>
      </c>
      <c r="OH293" s="168" t="s">
        <v>1031</v>
      </c>
      <c r="OI293" s="168" t="s">
        <v>766</v>
      </c>
      <c r="OJ293" s="168" t="s">
        <v>3240</v>
      </c>
      <c r="OK293" s="168" t="s">
        <v>822</v>
      </c>
    </row>
    <row r="294" spans="1:401" x14ac:dyDescent="0.2">
      <c r="A294" s="170" t="str">
        <f>Liste[[#This Row],[Siren]]</f>
        <v>523354009</v>
      </c>
      <c r="B294" s="198" t="str">
        <f>Liste[[#This Row],[Dénomination]]&amp;" - comptes "&amp;YEAR(Liste[[#This Row],[Date de cloture de l''exercice]])</f>
        <v>ANDREZIEUX DISTRIBUTION - comptes 2017</v>
      </c>
      <c r="C294" s="21"/>
      <c r="D294" s="21"/>
      <c r="E294" s="21"/>
      <c r="F294" s="21"/>
      <c r="G294" s="21"/>
      <c r="H294" s="21"/>
      <c r="I294" s="168">
        <v>2543631</v>
      </c>
      <c r="J294" s="168">
        <v>2117360</v>
      </c>
      <c r="K294" s="168">
        <v>1436245</v>
      </c>
      <c r="L294" s="168">
        <v>4660991</v>
      </c>
      <c r="M294" s="21"/>
      <c r="N294" s="168">
        <v>3168</v>
      </c>
      <c r="O294" s="168">
        <v>3168</v>
      </c>
      <c r="P294" s="168">
        <v>3168</v>
      </c>
      <c r="Q294" s="21"/>
      <c r="R294" s="21"/>
      <c r="S294" s="21"/>
      <c r="T294" s="21"/>
      <c r="U294" s="21"/>
      <c r="V294" s="21"/>
      <c r="W294" s="21"/>
      <c r="X294" s="21"/>
      <c r="Y294" s="21"/>
      <c r="Z294" s="168">
        <v>1595091</v>
      </c>
      <c r="AA294" s="168">
        <v>1582881</v>
      </c>
      <c r="AB294" s="168">
        <v>1595091</v>
      </c>
      <c r="AC294" s="21"/>
      <c r="AD294" s="21"/>
      <c r="AE294" s="21"/>
      <c r="AF294" s="21"/>
      <c r="AG294" s="21"/>
      <c r="AH294" s="21"/>
      <c r="AI294" s="21"/>
      <c r="AJ294" s="21"/>
      <c r="AK294" s="168">
        <v>5647</v>
      </c>
      <c r="AL294" s="168">
        <v>570728</v>
      </c>
      <c r="AM294" s="168">
        <v>410655</v>
      </c>
      <c r="AN294" s="168">
        <v>576375</v>
      </c>
      <c r="AO294" s="21"/>
      <c r="AP294" s="21"/>
      <c r="AQ294" s="168">
        <v>1500</v>
      </c>
      <c r="AR294" s="21"/>
      <c r="AS294" s="21"/>
      <c r="AT294" s="21"/>
      <c r="AU294" s="21"/>
      <c r="AV294" s="21"/>
      <c r="AW294" s="21"/>
      <c r="AX294" s="21"/>
      <c r="AY294" s="21"/>
      <c r="AZ294" s="168">
        <v>202783</v>
      </c>
      <c r="BA294" s="168">
        <v>284233</v>
      </c>
      <c r="BB294" s="168">
        <v>202783</v>
      </c>
      <c r="BC294" s="168">
        <v>25589</v>
      </c>
      <c r="BD294" s="168">
        <v>6252746</v>
      </c>
      <c r="BE294" s="168">
        <v>4416998</v>
      </c>
      <c r="BF294" s="168">
        <v>6278335</v>
      </c>
      <c r="BG294" s="168">
        <v>101763</v>
      </c>
      <c r="BH294" s="168">
        <v>20509</v>
      </c>
      <c r="BI294" s="168">
        <v>14012</v>
      </c>
      <c r="BJ294" s="168">
        <v>122272</v>
      </c>
      <c r="BK294" s="168">
        <v>866592</v>
      </c>
      <c r="BL294" s="168">
        <v>7584855</v>
      </c>
      <c r="BM294" s="168">
        <v>7101811</v>
      </c>
      <c r="BN294" s="168">
        <v>8451447</v>
      </c>
      <c r="BO294" s="21"/>
      <c r="BP294" s="21"/>
      <c r="BQ294" s="21"/>
      <c r="BR294" s="21"/>
      <c r="BS294" s="21"/>
      <c r="BT294" s="21"/>
      <c r="BU294" s="21"/>
      <c r="BV294" s="21"/>
      <c r="BW294" s="21"/>
      <c r="BX294" s="168">
        <v>2625648</v>
      </c>
      <c r="BY294" s="168">
        <v>3519708</v>
      </c>
      <c r="BZ294" s="168">
        <v>2625648</v>
      </c>
      <c r="CA294" s="21"/>
      <c r="CB294" s="21"/>
      <c r="CC294" s="21"/>
      <c r="CD294" s="168">
        <v>212302</v>
      </c>
      <c r="CE294" s="168">
        <v>17025489</v>
      </c>
      <c r="CF294" s="168">
        <v>331572</v>
      </c>
      <c r="CG294" s="168">
        <v>17237791</v>
      </c>
      <c r="CH294" s="21"/>
      <c r="CI294" s="21"/>
      <c r="CJ294" s="21"/>
      <c r="CK294" s="21"/>
      <c r="CL294" s="21"/>
      <c r="CM294" s="21"/>
      <c r="CN294" s="21"/>
      <c r="CO294" s="21"/>
      <c r="CP294" s="21"/>
      <c r="CQ294" s="168">
        <v>667651</v>
      </c>
      <c r="CR294" s="168">
        <v>17197651</v>
      </c>
      <c r="CS294" s="168">
        <v>667651</v>
      </c>
      <c r="CT294" s="21"/>
      <c r="CU294" s="21"/>
      <c r="CV294" s="21"/>
      <c r="CW294" s="21"/>
      <c r="CX294" s="168">
        <v>671</v>
      </c>
      <c r="CY294" s="168">
        <v>1559</v>
      </c>
      <c r="CZ294" s="168">
        <v>1967</v>
      </c>
      <c r="DA294" s="168">
        <v>2230</v>
      </c>
      <c r="DB294" s="21"/>
      <c r="DC294" s="168">
        <v>90785</v>
      </c>
      <c r="DD294" s="168">
        <v>13818</v>
      </c>
      <c r="DE294" s="168">
        <v>90785</v>
      </c>
      <c r="DF294" s="168">
        <v>6232630</v>
      </c>
      <c r="DG294" s="168">
        <v>1035538</v>
      </c>
      <c r="DH294" s="168">
        <v>1179925</v>
      </c>
      <c r="DI294" s="168">
        <v>7268168</v>
      </c>
      <c r="DJ294" s="168">
        <v>275112</v>
      </c>
      <c r="DK294" s="168">
        <v>13141026</v>
      </c>
      <c r="DL294" s="168">
        <v>13787561</v>
      </c>
      <c r="DM294" s="168">
        <v>13416138</v>
      </c>
      <c r="DN294" s="21"/>
      <c r="DO294" s="168">
        <v>34814</v>
      </c>
      <c r="DP294" s="168">
        <v>33432</v>
      </c>
      <c r="DQ294" s="168">
        <v>34814</v>
      </c>
      <c r="DR294" s="21"/>
      <c r="DS294" s="21"/>
      <c r="DT294" s="21"/>
      <c r="DU294" s="21"/>
      <c r="DV294" s="21"/>
      <c r="DW294" s="168">
        <v>391093</v>
      </c>
      <c r="DX294" s="168">
        <v>332093</v>
      </c>
      <c r="DY294" s="168">
        <v>391093</v>
      </c>
      <c r="DZ294" s="21"/>
      <c r="EA294" s="21"/>
      <c r="EB294" s="21"/>
      <c r="EC294" s="21"/>
      <c r="ED294" s="21"/>
      <c r="EE294" s="21"/>
      <c r="EF294" s="21"/>
      <c r="EG294" s="21"/>
      <c r="EH294" s="21"/>
      <c r="EI294" s="21"/>
      <c r="EJ294" s="21"/>
      <c r="EK294" s="168">
        <v>9753647</v>
      </c>
      <c r="EL294" s="168">
        <v>13913549</v>
      </c>
      <c r="EM294" s="168">
        <v>29269374</v>
      </c>
      <c r="EN294" s="168">
        <v>23667196</v>
      </c>
      <c r="EO294" s="168">
        <v>306348</v>
      </c>
      <c r="EP294" s="168">
        <v>24886913</v>
      </c>
      <c r="EQ294" s="168">
        <v>23878292</v>
      </c>
      <c r="ER294" s="168">
        <v>25193261</v>
      </c>
      <c r="ES294" s="168">
        <v>10272297</v>
      </c>
      <c r="ET294" s="168">
        <v>55825955</v>
      </c>
      <c r="EU294" s="168">
        <v>53479239</v>
      </c>
      <c r="EV294" s="168">
        <v>66098252</v>
      </c>
      <c r="EW294" s="168">
        <v>8360</v>
      </c>
      <c r="EX294" s="168">
        <v>405940</v>
      </c>
      <c r="EY294" s="168">
        <v>405803</v>
      </c>
      <c r="EZ294" s="168">
        <v>414300</v>
      </c>
      <c r="FA294" s="21"/>
      <c r="FB294" s="21"/>
      <c r="FC294" s="21"/>
      <c r="FD294" s="21"/>
      <c r="FE294" s="21"/>
      <c r="FF294" s="168">
        <v>1808000</v>
      </c>
      <c r="FG294" s="168">
        <v>1200000</v>
      </c>
      <c r="FH294" s="168">
        <v>1808000</v>
      </c>
      <c r="FI294" s="168">
        <v>-20592</v>
      </c>
      <c r="FJ294" s="168">
        <v>49173</v>
      </c>
      <c r="FK294" s="21"/>
      <c r="FL294" s="21"/>
      <c r="FM294" s="21"/>
      <c r="FN294" s="21"/>
      <c r="FO294" s="21"/>
      <c r="FP294" s="21"/>
      <c r="FQ294" s="168">
        <v>35174</v>
      </c>
      <c r="FR294" s="168">
        <v>19871</v>
      </c>
      <c r="FS294" s="21"/>
      <c r="FT294" s="21"/>
      <c r="FU294" s="168">
        <v>-26966</v>
      </c>
      <c r="FV294" s="168">
        <v>-16845</v>
      </c>
      <c r="FW294" s="168">
        <v>506024</v>
      </c>
      <c r="FX294" s="168">
        <v>860534</v>
      </c>
      <c r="FY294" s="168">
        <v>972</v>
      </c>
      <c r="FZ294" s="168">
        <v>7879</v>
      </c>
      <c r="GA294" s="21"/>
      <c r="GB294" s="21"/>
      <c r="GC294" s="21"/>
      <c r="GD294" s="21"/>
      <c r="GE294" s="21"/>
      <c r="GF294" s="21"/>
      <c r="GG294" s="21"/>
      <c r="GH294" s="21"/>
      <c r="GI294" s="21"/>
      <c r="GJ294" s="21"/>
      <c r="GK294" s="21"/>
      <c r="GL294" s="21"/>
      <c r="GM294" s="168">
        <v>2460723</v>
      </c>
      <c r="GN294" s="168">
        <v>3118456</v>
      </c>
      <c r="GO294" s="168">
        <v>2495897</v>
      </c>
      <c r="GP294" s="168">
        <v>3138327</v>
      </c>
      <c r="GQ294" s="21"/>
      <c r="GR294" s="21"/>
      <c r="GS294" s="168">
        <v>2459749</v>
      </c>
      <c r="GT294" s="168">
        <v>3110577</v>
      </c>
      <c r="GU294" s="168">
        <v>313419</v>
      </c>
      <c r="GV294" s="168">
        <v>291795</v>
      </c>
      <c r="GW294" s="168">
        <v>292827</v>
      </c>
      <c r="GX294" s="168">
        <v>340968</v>
      </c>
      <c r="GY294" s="21"/>
      <c r="GZ294" s="21"/>
      <c r="HA294" s="21"/>
      <c r="HB294" s="21"/>
      <c r="HC294" s="168">
        <v>7713665</v>
      </c>
      <c r="HD294" s="168">
        <v>6922812</v>
      </c>
      <c r="HE294" s="21"/>
      <c r="HF294" s="21"/>
      <c r="HG294" s="21"/>
      <c r="HH294" s="21"/>
      <c r="HI294" s="21"/>
      <c r="HJ294" s="21"/>
      <c r="HK294" s="21"/>
      <c r="HL294" s="21"/>
      <c r="HM294" s="21"/>
      <c r="HN294" s="21"/>
      <c r="HO294" s="21"/>
      <c r="HP294" s="21"/>
      <c r="HQ294" s="21"/>
      <c r="HR294" s="21"/>
      <c r="HS294" s="21"/>
      <c r="HT294" s="21"/>
      <c r="HU294" s="168">
        <v>1076202</v>
      </c>
      <c r="HV294" s="168">
        <v>991097</v>
      </c>
      <c r="HW294" s="168">
        <v>103213</v>
      </c>
      <c r="HX294" s="168">
        <v>28437</v>
      </c>
      <c r="HY294" s="21"/>
      <c r="HZ294" s="21"/>
      <c r="IA294" s="21"/>
      <c r="IB294" s="21"/>
      <c r="IC294" s="21"/>
      <c r="ID294" s="21"/>
      <c r="IE294" s="168">
        <v>1426118</v>
      </c>
      <c r="IF294" s="168">
        <v>1468089</v>
      </c>
      <c r="IG294" s="21"/>
      <c r="IH294" s="21"/>
      <c r="II294" s="21"/>
      <c r="IJ294" s="21"/>
      <c r="IK294" s="168">
        <v>-47259</v>
      </c>
      <c r="IL294" s="168">
        <v>182974</v>
      </c>
      <c r="IM294" s="168">
        <v>100950851</v>
      </c>
      <c r="IN294" s="168">
        <v>98695028</v>
      </c>
      <c r="IO294" s="21"/>
      <c r="IP294" s="21"/>
      <c r="IQ294" s="21"/>
      <c r="IR294" s="21"/>
      <c r="IS294" s="21"/>
      <c r="IT294" s="21"/>
      <c r="IU294" s="168">
        <v>2995547</v>
      </c>
      <c r="IV294" s="168">
        <v>3932843</v>
      </c>
      <c r="IW294" s="168">
        <v>3083503</v>
      </c>
      <c r="IX294" s="168">
        <v>4087654</v>
      </c>
      <c r="IY294" s="168">
        <v>-87956</v>
      </c>
      <c r="IZ294" s="168">
        <v>-154811</v>
      </c>
      <c r="JA294" s="21"/>
      <c r="JB294" s="21"/>
      <c r="JC294" s="21"/>
      <c r="JD294" s="21"/>
      <c r="JE294" s="21"/>
      <c r="JF294" s="21"/>
      <c r="JG294" s="21"/>
      <c r="JH294" s="21"/>
      <c r="JI294" s="168">
        <v>24640374</v>
      </c>
      <c r="JJ294" s="168">
        <v>23291856</v>
      </c>
      <c r="JK294" s="168">
        <v>162614</v>
      </c>
      <c r="JL294" s="168">
        <v>207657</v>
      </c>
      <c r="JM294" s="21"/>
      <c r="JN294" s="21"/>
      <c r="JO294" s="168">
        <v>74658</v>
      </c>
      <c r="JP294" s="168">
        <v>52846</v>
      </c>
      <c r="JQ294" s="21"/>
      <c r="JR294" s="21"/>
      <c r="JS294" s="21"/>
      <c r="JT294" s="21"/>
      <c r="JU294" s="21"/>
      <c r="JV294" s="21"/>
      <c r="JW294" s="168">
        <v>125534690</v>
      </c>
      <c r="JX294" s="168">
        <v>123319115</v>
      </c>
      <c r="JY294" s="21"/>
      <c r="JZ294" s="21"/>
      <c r="KA294" s="21"/>
      <c r="KB294" s="21"/>
      <c r="KC294" s="21"/>
      <c r="KD294" s="21"/>
      <c r="KE294" s="21"/>
      <c r="KF294" s="21"/>
      <c r="KG294" s="21"/>
      <c r="KH294" s="21"/>
      <c r="KI294" s="168">
        <v>127853545</v>
      </c>
      <c r="KJ294" s="168">
        <v>125880400</v>
      </c>
      <c r="KK294" s="21"/>
      <c r="KL294" s="21"/>
      <c r="KM294" s="21"/>
      <c r="KN294" s="21"/>
      <c r="KO294" s="21"/>
      <c r="KP294" s="21"/>
      <c r="KQ294" s="168">
        <v>1317945</v>
      </c>
      <c r="KR294" s="168">
        <v>943386</v>
      </c>
      <c r="KS294" s="21"/>
      <c r="KT294" s="21"/>
      <c r="KU294" s="168">
        <v>11177371</v>
      </c>
      <c r="KV294" s="168">
        <v>9039493</v>
      </c>
      <c r="KW294" s="21"/>
      <c r="KX294" s="21"/>
      <c r="KY294" s="168">
        <v>330</v>
      </c>
      <c r="KZ294" s="21"/>
      <c r="LA294" s="168">
        <v>40000</v>
      </c>
      <c r="LB294" s="168">
        <v>40000</v>
      </c>
      <c r="LC294" s="21"/>
      <c r="LD294" s="21"/>
      <c r="LE294" s="21"/>
      <c r="LF294" s="21"/>
      <c r="LG294" s="21"/>
      <c r="LH294" s="21"/>
      <c r="LI294" s="168">
        <v>5242409</v>
      </c>
      <c r="LJ294" s="168">
        <v>5103063</v>
      </c>
      <c r="LK294" s="168">
        <v>10065450</v>
      </c>
      <c r="LL294" s="168">
        <v>9929921</v>
      </c>
      <c r="LM294" s="168">
        <v>551530</v>
      </c>
      <c r="LN294" s="168">
        <v>140969</v>
      </c>
      <c r="LO294" s="21"/>
      <c r="LP294" s="21"/>
      <c r="LQ294" s="21"/>
      <c r="LR294" s="21"/>
      <c r="LS294" s="21"/>
      <c r="LT294" s="21"/>
      <c r="LU294" s="21"/>
      <c r="LV294" s="21"/>
      <c r="LW294" s="21"/>
      <c r="LX294" s="21"/>
      <c r="LY294" s="21"/>
      <c r="LZ294" s="21"/>
      <c r="MA294" s="168">
        <v>22845930</v>
      </c>
      <c r="MB294" s="168">
        <v>23545220</v>
      </c>
      <c r="MC294" s="168">
        <v>943018</v>
      </c>
      <c r="MD294" s="168">
        <v>920089</v>
      </c>
      <c r="ME294" s="21"/>
      <c r="MF294" s="21"/>
      <c r="MG294" s="21"/>
      <c r="MH294" s="21"/>
      <c r="MI294" s="21"/>
      <c r="MJ294" s="21"/>
      <c r="MK294" s="21"/>
      <c r="ML294" s="21"/>
      <c r="MM294" s="168">
        <v>7402</v>
      </c>
      <c r="MN294" s="168">
        <v>20312</v>
      </c>
      <c r="MO294" s="168">
        <v>364414</v>
      </c>
      <c r="MP294" s="168">
        <v>270432</v>
      </c>
      <c r="MQ294" s="168">
        <v>95554</v>
      </c>
      <c r="MR294" s="168">
        <v>295634</v>
      </c>
      <c r="MS294" s="21"/>
      <c r="MT294" s="21"/>
      <c r="MU294" s="21"/>
      <c r="MV294" s="21"/>
      <c r="MW294" s="168">
        <v>4000</v>
      </c>
      <c r="MX294" s="168">
        <v>4000</v>
      </c>
      <c r="MY294" s="21"/>
      <c r="MZ294" s="21"/>
      <c r="NA294" s="21"/>
      <c r="NB294" s="21"/>
      <c r="NC294" s="168">
        <v>2459749</v>
      </c>
      <c r="ND294" s="168">
        <v>3110577</v>
      </c>
      <c r="NE294" s="21"/>
      <c r="NF294" s="21"/>
      <c r="NG294" s="168">
        <v>14455984</v>
      </c>
      <c r="NH294" s="168">
        <v>12156233</v>
      </c>
      <c r="NI294" s="21"/>
      <c r="NJ294" s="21"/>
      <c r="NK294" s="168">
        <v>-64011</v>
      </c>
      <c r="NL294" s="168">
        <v>153979</v>
      </c>
      <c r="NM294" s="168">
        <v>40974014</v>
      </c>
      <c r="NN294" s="168">
        <v>40602960</v>
      </c>
      <c r="NO294" s="168">
        <v>55825955</v>
      </c>
      <c r="NP294" s="168">
        <v>53479239</v>
      </c>
      <c r="NQ294" s="168" t="s">
        <v>3341</v>
      </c>
      <c r="NR294" s="168" t="s">
        <v>823</v>
      </c>
      <c r="NS294" s="168" t="s">
        <v>770</v>
      </c>
      <c r="NT294" s="168" t="s">
        <v>771</v>
      </c>
      <c r="NU294" s="168">
        <v>4202</v>
      </c>
      <c r="NV294" s="168" t="s">
        <v>2104</v>
      </c>
      <c r="NW294" s="168" t="s">
        <v>28</v>
      </c>
      <c r="NX294" s="168" t="s">
        <v>25</v>
      </c>
      <c r="NY294" s="169">
        <v>42766</v>
      </c>
      <c r="NZ294" s="169">
        <v>42400</v>
      </c>
      <c r="OA294" s="169">
        <v>43136</v>
      </c>
      <c r="OB294" s="168" t="s">
        <v>1576</v>
      </c>
      <c r="OC294" s="168">
        <v>12</v>
      </c>
      <c r="OD294" s="168" t="s">
        <v>2105</v>
      </c>
      <c r="OE294" s="168" t="s">
        <v>3342</v>
      </c>
      <c r="OF294" s="168" t="s">
        <v>2652</v>
      </c>
      <c r="OG294" s="168" t="s">
        <v>2098</v>
      </c>
      <c r="OH294" s="168" t="s">
        <v>837</v>
      </c>
      <c r="OI294" s="168" t="s">
        <v>766</v>
      </c>
      <c r="OJ294" s="168" t="s">
        <v>3240</v>
      </c>
      <c r="OK294" s="168" t="s">
        <v>822</v>
      </c>
    </row>
    <row r="295" spans="1:401" x14ac:dyDescent="0.2">
      <c r="A295" s="170" t="str">
        <f>Liste[[#This Row],[Siren]]</f>
        <v>537926305</v>
      </c>
      <c r="B295" s="198" t="str">
        <f>Liste[[#This Row],[Dénomination]]&amp;" - comptes "&amp;YEAR(Liste[[#This Row],[Date de cloture de l''exercice]])</f>
        <v>De Fursac Finance - comptes 2017</v>
      </c>
      <c r="C295" s="21"/>
      <c r="D295" s="21"/>
      <c r="E295" s="21"/>
      <c r="F295" s="168">
        <v>1198739</v>
      </c>
      <c r="G295" s="168">
        <v>941943</v>
      </c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168">
        <v>2249740</v>
      </c>
      <c r="BE295" s="168">
        <v>2358427</v>
      </c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168">
        <v>6449018</v>
      </c>
      <c r="BY295" s="168">
        <v>8172255</v>
      </c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  <c r="CJ295" s="21"/>
      <c r="CK295" s="21"/>
      <c r="CL295" s="21"/>
      <c r="CM295" s="21"/>
      <c r="CN295" s="21"/>
      <c r="CO295" s="21"/>
      <c r="CP295" s="21"/>
      <c r="CQ295" s="21"/>
      <c r="CR295" s="21"/>
      <c r="CS295" s="21"/>
      <c r="CT295" s="21"/>
      <c r="CU295" s="21"/>
      <c r="CV295" s="21"/>
      <c r="CW295" s="21"/>
      <c r="CX295" s="21"/>
      <c r="CY295" s="21"/>
      <c r="CZ295" s="21"/>
      <c r="DA295" s="21"/>
      <c r="DB295" s="21"/>
      <c r="DC295" s="21"/>
      <c r="DD295" s="21"/>
      <c r="DE295" s="21"/>
      <c r="DF295" s="21"/>
      <c r="DG295" s="21"/>
      <c r="DH295" s="21"/>
      <c r="DI295" s="21"/>
      <c r="DJ295" s="21"/>
      <c r="DK295" s="21"/>
      <c r="DL295" s="21"/>
      <c r="DM295" s="21"/>
      <c r="DN295" s="21"/>
      <c r="DO295" s="21"/>
      <c r="DP295" s="21"/>
      <c r="DQ295" s="21"/>
      <c r="DR295" s="21"/>
      <c r="DS295" s="21"/>
      <c r="DT295" s="21"/>
      <c r="DU295" s="21"/>
      <c r="DV295" s="21"/>
      <c r="DW295" s="21"/>
      <c r="DX295" s="21"/>
      <c r="DY295" s="21"/>
      <c r="DZ295" s="21"/>
      <c r="EA295" s="21"/>
      <c r="EB295" s="21"/>
      <c r="EC295" s="21"/>
      <c r="ED295" s="21"/>
      <c r="EE295" s="21"/>
      <c r="EF295" s="21"/>
      <c r="EG295" s="21"/>
      <c r="EH295" s="21"/>
      <c r="EI295" s="21"/>
      <c r="EJ295" s="21"/>
      <c r="EK295" s="21"/>
      <c r="EL295" s="168">
        <v>28721388</v>
      </c>
      <c r="EM295" s="168">
        <v>25076740</v>
      </c>
      <c r="EN295" s="21"/>
      <c r="EO295" s="21"/>
      <c r="EP295" s="168">
        <v>15621750</v>
      </c>
      <c r="EQ295" s="168">
        <v>17392650</v>
      </c>
      <c r="ER295" s="21"/>
      <c r="ES295" s="21"/>
      <c r="ET295" s="168">
        <v>45233242</v>
      </c>
      <c r="EU295" s="168">
        <v>43318382</v>
      </c>
      <c r="EV295" s="21"/>
      <c r="EW295" s="21"/>
      <c r="EX295" s="21"/>
      <c r="EY295" s="21"/>
      <c r="EZ295" s="21"/>
      <c r="FA295" s="21"/>
      <c r="FB295" s="21"/>
      <c r="FC295" s="21"/>
      <c r="FD295" s="21"/>
      <c r="FE295" s="21"/>
      <c r="FF295" s="168">
        <v>40051</v>
      </c>
      <c r="FG295" s="168">
        <v>244476</v>
      </c>
      <c r="FH295" s="21"/>
      <c r="FI295" s="21"/>
      <c r="FJ295" s="21"/>
      <c r="FK295" s="21"/>
      <c r="FL295" s="21"/>
      <c r="FM295" s="21"/>
      <c r="FN295" s="21"/>
      <c r="FO295" s="21"/>
      <c r="FP295" s="21"/>
      <c r="FQ295" s="21"/>
      <c r="FR295" s="21"/>
      <c r="FS295" s="21"/>
      <c r="FT295" s="21"/>
      <c r="FU295" s="21"/>
      <c r="FV295" s="21"/>
      <c r="FW295" s="168">
        <v>877963</v>
      </c>
      <c r="FX295" s="168">
        <v>1799175</v>
      </c>
      <c r="FY295" s="168">
        <v>4603</v>
      </c>
      <c r="FZ295" s="168">
        <v>7497</v>
      </c>
      <c r="GA295" s="21"/>
      <c r="GB295" s="21"/>
      <c r="GC295" s="21"/>
      <c r="GD295" s="21"/>
      <c r="GE295" s="21"/>
      <c r="GF295" s="21"/>
      <c r="GG295" s="21"/>
      <c r="GH295" s="21"/>
      <c r="GI295" s="21"/>
      <c r="GJ295" s="21"/>
      <c r="GK295" s="21"/>
      <c r="GL295" s="21"/>
      <c r="GM295" s="168">
        <v>2373692</v>
      </c>
      <c r="GN295" s="168">
        <v>4056067</v>
      </c>
      <c r="GO295" s="168">
        <v>2373692</v>
      </c>
      <c r="GP295" s="168">
        <v>4056067</v>
      </c>
      <c r="GQ295" s="21"/>
      <c r="GR295" s="21"/>
      <c r="GS295" s="168">
        <v>2367685</v>
      </c>
      <c r="GT295" s="168">
        <v>4048569</v>
      </c>
      <c r="GU295" s="21"/>
      <c r="GV295" s="21"/>
      <c r="GW295" s="21"/>
      <c r="GX295" s="21"/>
      <c r="GY295" s="21"/>
      <c r="GZ295" s="21"/>
      <c r="HA295" s="21"/>
      <c r="HB295" s="21"/>
      <c r="HC295" s="168">
        <v>7048242</v>
      </c>
      <c r="HD295" s="168">
        <v>6544890</v>
      </c>
      <c r="HE295" s="21"/>
      <c r="HF295" s="21"/>
      <c r="HG295" s="21"/>
      <c r="HH295" s="21"/>
      <c r="HI295" s="168">
        <v>23202</v>
      </c>
      <c r="HJ295" s="168">
        <v>129131</v>
      </c>
      <c r="HK295" s="21"/>
      <c r="HL295" s="21"/>
      <c r="HM295" s="21"/>
      <c r="HN295" s="21"/>
      <c r="HO295" s="21"/>
      <c r="HP295" s="21"/>
      <c r="HQ295" s="21"/>
      <c r="HR295" s="21"/>
      <c r="HS295" s="21"/>
      <c r="HT295" s="21"/>
      <c r="HU295" s="168">
        <v>1397966</v>
      </c>
      <c r="HV295" s="168">
        <v>1307838</v>
      </c>
      <c r="HW295" s="21"/>
      <c r="HX295" s="21"/>
      <c r="HY295" s="168">
        <v>92487</v>
      </c>
      <c r="HZ295" s="168">
        <v>2772</v>
      </c>
      <c r="IA295" s="21"/>
      <c r="IB295" s="21"/>
      <c r="IC295" s="21"/>
      <c r="ID295" s="21"/>
      <c r="IE295" s="168">
        <v>561986</v>
      </c>
      <c r="IF295" s="168">
        <v>514666</v>
      </c>
      <c r="IG295" s="21"/>
      <c r="IH295" s="21"/>
      <c r="II295" s="21"/>
      <c r="IJ295" s="21"/>
      <c r="IK295" s="21"/>
      <c r="IL295" s="21"/>
      <c r="IM295" s="168">
        <v>-276919</v>
      </c>
      <c r="IN295" s="168">
        <v>618707</v>
      </c>
      <c r="IO295" s="21"/>
      <c r="IP295" s="21"/>
      <c r="IQ295" s="21"/>
      <c r="IR295" s="21"/>
      <c r="IS295" s="21"/>
      <c r="IT295" s="21"/>
      <c r="IU295" s="168">
        <v>4954166</v>
      </c>
      <c r="IV295" s="168">
        <v>6102641</v>
      </c>
      <c r="IW295" s="168">
        <v>5231217</v>
      </c>
      <c r="IX295" s="168">
        <v>6326863</v>
      </c>
      <c r="IY295" s="168">
        <v>-277051</v>
      </c>
      <c r="IZ295" s="168">
        <v>-224222</v>
      </c>
      <c r="JA295" s="168">
        <v>1374858</v>
      </c>
      <c r="JB295" s="168">
        <v>1372229</v>
      </c>
      <c r="JC295" s="21"/>
      <c r="JD295" s="21"/>
      <c r="JE295" s="21"/>
      <c r="JF295" s="21"/>
      <c r="JG295" s="21"/>
      <c r="JH295" s="21"/>
      <c r="JI295" s="168">
        <v>26416055</v>
      </c>
      <c r="JJ295" s="168">
        <v>26493357</v>
      </c>
      <c r="JK295" s="168">
        <v>296356</v>
      </c>
      <c r="JL295" s="168">
        <v>330128</v>
      </c>
      <c r="JM295" s="168">
        <v>1121141</v>
      </c>
      <c r="JN295" s="168">
        <v>2120067</v>
      </c>
      <c r="JO295" s="168">
        <v>19305</v>
      </c>
      <c r="JP295" s="168">
        <v>105906</v>
      </c>
      <c r="JQ295" s="21"/>
      <c r="JR295" s="21"/>
      <c r="JS295" s="21"/>
      <c r="JT295" s="21"/>
      <c r="JU295" s="21"/>
      <c r="JV295" s="21"/>
      <c r="JW295" s="168">
        <v>30526131</v>
      </c>
      <c r="JX295" s="168">
        <v>30700153</v>
      </c>
      <c r="JY295" s="21"/>
      <c r="JZ295" s="21"/>
      <c r="KA295" s="21"/>
      <c r="KB295" s="21"/>
      <c r="KC295" s="21"/>
      <c r="KD295" s="21"/>
      <c r="KE295" s="21"/>
      <c r="KF295" s="21"/>
      <c r="KG295" s="21"/>
      <c r="KH295" s="21"/>
      <c r="KI295" s="21"/>
      <c r="KJ295" s="21"/>
      <c r="KK295" s="21"/>
      <c r="KL295" s="21"/>
      <c r="KM295" s="21"/>
      <c r="KN295" s="21"/>
      <c r="KO295" s="21"/>
      <c r="KP295" s="21"/>
      <c r="KQ295" s="168">
        <v>88829</v>
      </c>
      <c r="KR295" s="168">
        <v>127735</v>
      </c>
      <c r="KS295" s="21"/>
      <c r="KT295" s="21"/>
      <c r="KU295" s="21"/>
      <c r="KV295" s="21"/>
      <c r="KW295" s="21"/>
      <c r="KX295" s="21"/>
      <c r="KY295" s="21"/>
      <c r="KZ295" s="21"/>
      <c r="LA295" s="168">
        <v>7112130</v>
      </c>
      <c r="LB295" s="168">
        <v>6988453</v>
      </c>
      <c r="LC295" s="21"/>
      <c r="LD295" s="21"/>
      <c r="LE295" s="21"/>
      <c r="LF295" s="21"/>
      <c r="LG295" s="21"/>
      <c r="LH295" s="21"/>
      <c r="LI295" s="168">
        <v>3043007</v>
      </c>
      <c r="LJ295" s="168">
        <v>4194237</v>
      </c>
      <c r="LK295" s="168">
        <v>2970071</v>
      </c>
      <c r="LL295" s="168">
        <v>3179264</v>
      </c>
      <c r="LM295" s="21"/>
      <c r="LN295" s="21"/>
      <c r="LO295" s="21"/>
      <c r="LP295" s="21"/>
      <c r="LQ295" s="21"/>
      <c r="LR295" s="21"/>
      <c r="LS295" s="21"/>
      <c r="LT295" s="21"/>
      <c r="LU295" s="21"/>
      <c r="LV295" s="21"/>
      <c r="LW295" s="21"/>
      <c r="LX295" s="21"/>
      <c r="LY295" s="21"/>
      <c r="LZ295" s="21"/>
      <c r="MA295" s="21"/>
      <c r="MB295" s="21"/>
      <c r="MC295" s="168">
        <v>13445380</v>
      </c>
      <c r="MD295" s="168">
        <v>13155971</v>
      </c>
      <c r="ME295" s="21"/>
      <c r="MF295" s="21"/>
      <c r="MG295" s="21"/>
      <c r="MH295" s="21"/>
      <c r="MI295" s="168">
        <v>6391053</v>
      </c>
      <c r="MJ295" s="168">
        <v>6391053</v>
      </c>
      <c r="MK295" s="21"/>
      <c r="ML295" s="21"/>
      <c r="MM295" s="21"/>
      <c r="MN295" s="21"/>
      <c r="MO295" s="21"/>
      <c r="MP295" s="21"/>
      <c r="MQ295" s="21"/>
      <c r="MR295" s="21"/>
      <c r="MS295" s="21"/>
      <c r="MT295" s="21"/>
      <c r="MU295" s="21"/>
      <c r="MV295" s="21"/>
      <c r="MW295" s="21"/>
      <c r="MX295" s="21"/>
      <c r="MY295" s="21"/>
      <c r="MZ295" s="21"/>
      <c r="NA295" s="21"/>
      <c r="NB295" s="21"/>
      <c r="NC295" s="168">
        <v>2367685</v>
      </c>
      <c r="ND295" s="168">
        <v>4048569</v>
      </c>
      <c r="NE295" s="21"/>
      <c r="NF295" s="21"/>
      <c r="NG295" s="168">
        <v>24675692</v>
      </c>
      <c r="NH295" s="168">
        <v>22354281</v>
      </c>
      <c r="NI295" s="21"/>
      <c r="NJ295" s="21"/>
      <c r="NK295" s="168">
        <v>42400</v>
      </c>
      <c r="NL295" s="168">
        <v>39350</v>
      </c>
      <c r="NM295" s="168">
        <v>19547287</v>
      </c>
      <c r="NN295" s="168">
        <v>20657207</v>
      </c>
      <c r="NO295" s="168">
        <v>45233242</v>
      </c>
      <c r="NP295" s="168">
        <v>43318382</v>
      </c>
      <c r="NQ295" s="168" t="s">
        <v>846</v>
      </c>
      <c r="NR295" s="168" t="s">
        <v>769</v>
      </c>
      <c r="NS295" s="168" t="s">
        <v>770</v>
      </c>
      <c r="NT295" s="168" t="s">
        <v>771</v>
      </c>
      <c r="NU295" s="168">
        <v>7501</v>
      </c>
      <c r="NV295" s="168" t="s">
        <v>2104</v>
      </c>
      <c r="NW295" s="168" t="s">
        <v>28</v>
      </c>
      <c r="NX295" s="168" t="s">
        <v>25</v>
      </c>
      <c r="NY295" s="169">
        <v>42766</v>
      </c>
      <c r="NZ295" s="169">
        <v>42400</v>
      </c>
      <c r="OA295" s="169">
        <v>43049</v>
      </c>
      <c r="OB295" s="168" t="s">
        <v>1285</v>
      </c>
      <c r="OC295" s="168">
        <v>12</v>
      </c>
      <c r="OD295" s="168" t="s">
        <v>2105</v>
      </c>
      <c r="OE295" s="168" t="s">
        <v>2429</v>
      </c>
      <c r="OF295" s="168" t="s">
        <v>2430</v>
      </c>
      <c r="OG295" s="168" t="s">
        <v>1953</v>
      </c>
      <c r="OH295" s="168" t="s">
        <v>765</v>
      </c>
      <c r="OI295" s="168" t="s">
        <v>766</v>
      </c>
      <c r="OJ295" s="168" t="s">
        <v>3240</v>
      </c>
      <c r="OK295" s="168" t="s">
        <v>767</v>
      </c>
    </row>
    <row r="296" spans="1:401" x14ac:dyDescent="0.2">
      <c r="A296" s="170" t="str">
        <f>Liste[[#This Row],[Siren]]</f>
        <v>421305210</v>
      </c>
      <c r="B296" s="198" t="str">
        <f>Liste[[#This Row],[Dénomination]]&amp;" - comptes "&amp;YEAR(Liste[[#This Row],[Date de cloture de l''exercice]])</f>
        <v>PIM PARTICIPATIONS - comptes 2017</v>
      </c>
      <c r="C296" s="21"/>
      <c r="D296" s="21"/>
      <c r="E296" s="168">
        <v>807728</v>
      </c>
      <c r="F296" s="168">
        <v>10695312</v>
      </c>
      <c r="G296" s="168">
        <v>30678824</v>
      </c>
      <c r="H296" s="168">
        <v>11503040</v>
      </c>
      <c r="I296" s="168">
        <v>69287090</v>
      </c>
      <c r="J296" s="168">
        <v>27855174</v>
      </c>
      <c r="K296" s="168">
        <v>31284541</v>
      </c>
      <c r="L296" s="168">
        <v>97142264</v>
      </c>
      <c r="M296" s="168">
        <v>10000</v>
      </c>
      <c r="N296" s="168">
        <v>19477829</v>
      </c>
      <c r="O296" s="168">
        <v>18193786</v>
      </c>
      <c r="P296" s="168">
        <v>19487829</v>
      </c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168">
        <v>847574</v>
      </c>
      <c r="AM296" s="168">
        <v>1420105</v>
      </c>
      <c r="AN296" s="168">
        <v>847574</v>
      </c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168">
        <v>10560258</v>
      </c>
      <c r="BA296" s="168">
        <v>11324337</v>
      </c>
      <c r="BB296" s="168">
        <v>10560258</v>
      </c>
      <c r="BC296" s="168">
        <v>485200</v>
      </c>
      <c r="BD296" s="168">
        <v>796068</v>
      </c>
      <c r="BE296" s="168">
        <v>871782</v>
      </c>
      <c r="BF296" s="168">
        <v>1281268</v>
      </c>
      <c r="BG296" s="168">
        <v>26640</v>
      </c>
      <c r="BH296" s="168">
        <v>182026</v>
      </c>
      <c r="BI296" s="168">
        <v>726573</v>
      </c>
      <c r="BJ296" s="168">
        <v>208666</v>
      </c>
      <c r="BK296" s="168">
        <v>22207013</v>
      </c>
      <c r="BL296" s="168">
        <v>55853625</v>
      </c>
      <c r="BM296" s="168">
        <v>79264600</v>
      </c>
      <c r="BN296" s="168">
        <v>78060638</v>
      </c>
      <c r="BO296" s="21"/>
      <c r="BP296" s="21"/>
      <c r="BQ296" s="21"/>
      <c r="BR296" s="21"/>
      <c r="BS296" s="21"/>
      <c r="BT296" s="21"/>
      <c r="BU296" s="21"/>
      <c r="BV296" s="21"/>
      <c r="BW296" s="21"/>
      <c r="BX296" s="168">
        <v>22786990</v>
      </c>
      <c r="BY296" s="168">
        <v>47449041</v>
      </c>
      <c r="BZ296" s="168">
        <v>22786990</v>
      </c>
      <c r="CA296" s="21"/>
      <c r="CB296" s="21"/>
      <c r="CC296" s="21"/>
      <c r="CD296" s="21"/>
      <c r="CE296" s="21"/>
      <c r="CF296" s="21"/>
      <c r="CG296" s="21"/>
      <c r="CH296" s="21"/>
      <c r="CI296" s="21"/>
      <c r="CJ296" s="21"/>
      <c r="CK296" s="21"/>
      <c r="CL296" s="21"/>
      <c r="CM296" s="21"/>
      <c r="CN296" s="21"/>
      <c r="CO296" s="21"/>
      <c r="CP296" s="168">
        <v>35195</v>
      </c>
      <c r="CQ296" s="168">
        <v>655811</v>
      </c>
      <c r="CR296" s="168">
        <v>655811</v>
      </c>
      <c r="CS296" s="168">
        <v>691006</v>
      </c>
      <c r="CT296" s="21"/>
      <c r="CU296" s="21"/>
      <c r="CV296" s="21"/>
      <c r="CW296" s="21"/>
      <c r="CX296" s="21"/>
      <c r="CY296" s="21"/>
      <c r="CZ296" s="21"/>
      <c r="DA296" s="21"/>
      <c r="DB296" s="168">
        <v>45059</v>
      </c>
      <c r="DC296" s="168">
        <v>3417240</v>
      </c>
      <c r="DD296" s="168">
        <v>597207</v>
      </c>
      <c r="DE296" s="168">
        <v>3462299</v>
      </c>
      <c r="DF296" s="168">
        <v>33458246</v>
      </c>
      <c r="DG296" s="168">
        <v>4900749</v>
      </c>
      <c r="DH296" s="168">
        <v>6776285</v>
      </c>
      <c r="DI296" s="168">
        <v>38358995</v>
      </c>
      <c r="DJ296" s="168">
        <v>1738697</v>
      </c>
      <c r="DK296" s="168">
        <v>76436574</v>
      </c>
      <c r="DL296" s="168">
        <v>70263833</v>
      </c>
      <c r="DM296" s="168">
        <v>78175271</v>
      </c>
      <c r="DN296" s="21"/>
      <c r="DO296" s="21"/>
      <c r="DP296" s="21"/>
      <c r="DQ296" s="21"/>
      <c r="DR296" s="21"/>
      <c r="DS296" s="168">
        <v>833246</v>
      </c>
      <c r="DT296" s="168">
        <v>502996</v>
      </c>
      <c r="DU296" s="168">
        <v>833246</v>
      </c>
      <c r="DV296" s="21"/>
      <c r="DW296" s="21"/>
      <c r="DX296" s="21"/>
      <c r="DY296" s="21"/>
      <c r="DZ296" s="21"/>
      <c r="EA296" s="21"/>
      <c r="EB296" s="21"/>
      <c r="EC296" s="168">
        <v>468829</v>
      </c>
      <c r="ED296" s="168">
        <v>1300001</v>
      </c>
      <c r="EE296" s="168">
        <v>1768830</v>
      </c>
      <c r="EF296" s="168">
        <v>1768830</v>
      </c>
      <c r="EG296" s="168">
        <v>66067099</v>
      </c>
      <c r="EH296" s="168">
        <v>118629276</v>
      </c>
      <c r="EI296" s="168">
        <v>112918692</v>
      </c>
      <c r="EJ296" s="168">
        <v>184696375</v>
      </c>
      <c r="EK296" s="168">
        <v>191136342</v>
      </c>
      <c r="EL296" s="168">
        <v>246414444</v>
      </c>
      <c r="EM296" s="168">
        <v>270330929</v>
      </c>
      <c r="EN296" s="168">
        <v>437550786</v>
      </c>
      <c r="EO296" s="168">
        <v>6802485</v>
      </c>
      <c r="EP296" s="168">
        <v>284262299</v>
      </c>
      <c r="EQ296" s="168">
        <v>300751311</v>
      </c>
      <c r="ER296" s="168">
        <v>291064784</v>
      </c>
      <c r="ES296" s="168">
        <v>197938827</v>
      </c>
      <c r="ET296" s="168">
        <v>530676743</v>
      </c>
      <c r="EU296" s="168">
        <v>571082240</v>
      </c>
      <c r="EV296" s="168">
        <v>728615570</v>
      </c>
      <c r="EW296" s="21"/>
      <c r="EX296" s="168">
        <v>10278173</v>
      </c>
      <c r="EY296" s="168">
        <v>11501510</v>
      </c>
      <c r="EZ296" s="168">
        <v>10278173</v>
      </c>
      <c r="FA296" s="21"/>
      <c r="FB296" s="168">
        <v>4331295</v>
      </c>
      <c r="FC296" s="168">
        <v>7908928</v>
      </c>
      <c r="FD296" s="168">
        <v>4331295</v>
      </c>
      <c r="FE296" s="168">
        <v>3302031</v>
      </c>
      <c r="FF296" s="168">
        <v>160839522</v>
      </c>
      <c r="FG296" s="168">
        <v>136974559</v>
      </c>
      <c r="FH296" s="168">
        <v>164141553</v>
      </c>
      <c r="FI296" s="168">
        <v>10213131</v>
      </c>
      <c r="FJ296" s="168">
        <v>1220501</v>
      </c>
      <c r="FK296" s="21"/>
      <c r="FL296" s="21"/>
      <c r="FM296" s="21"/>
      <c r="FN296" s="21"/>
      <c r="FO296" s="21"/>
      <c r="FP296" s="21"/>
      <c r="FQ296" s="168">
        <v>9707301</v>
      </c>
      <c r="FR296" s="168">
        <v>8656081</v>
      </c>
      <c r="FS296" s="21"/>
      <c r="FT296" s="21"/>
      <c r="FU296" s="168">
        <v>-460183</v>
      </c>
      <c r="FV296" s="168">
        <v>-20030</v>
      </c>
      <c r="FW296" s="21"/>
      <c r="FX296" s="21"/>
      <c r="FY296" s="168">
        <v>955857</v>
      </c>
      <c r="FZ296" s="168">
        <v>1401676</v>
      </c>
      <c r="GA296" s="21"/>
      <c r="GB296" s="21"/>
      <c r="GC296" s="21"/>
      <c r="GD296" s="21"/>
      <c r="GE296" s="21"/>
      <c r="GF296" s="21"/>
      <c r="GG296" s="21"/>
      <c r="GH296" s="21"/>
      <c r="GI296" s="21"/>
      <c r="GJ296" s="21"/>
      <c r="GK296" s="21"/>
      <c r="GL296" s="21"/>
      <c r="GM296" s="168">
        <v>-71373</v>
      </c>
      <c r="GN296" s="168">
        <v>73202083</v>
      </c>
      <c r="GO296" s="21"/>
      <c r="GP296" s="21"/>
      <c r="GQ296" s="21"/>
      <c r="GR296" s="21"/>
      <c r="GS296" s="168">
        <v>-1027530</v>
      </c>
      <c r="GT296" s="168">
        <v>78300407</v>
      </c>
      <c r="GU296" s="168">
        <v>30241324</v>
      </c>
      <c r="GV296" s="168">
        <v>5138872</v>
      </c>
      <c r="GW296" s="21"/>
      <c r="GX296" s="21"/>
      <c r="GY296" s="168">
        <v>189458</v>
      </c>
      <c r="GZ296" s="168">
        <v>248666</v>
      </c>
      <c r="HA296" s="21"/>
      <c r="HB296" s="21"/>
      <c r="HC296" s="168">
        <v>13810580</v>
      </c>
      <c r="HD296" s="168">
        <v>13218413</v>
      </c>
      <c r="HE296" s="168">
        <v>573216</v>
      </c>
      <c r="HF296" s="168">
        <v>1016141</v>
      </c>
      <c r="HG296" s="21"/>
      <c r="HH296" s="21"/>
      <c r="HI296" s="168">
        <v>176123</v>
      </c>
      <c r="HJ296" s="168">
        <v>996570</v>
      </c>
      <c r="HK296" s="21"/>
      <c r="HL296" s="21"/>
      <c r="HM296" s="21"/>
      <c r="HN296" s="21"/>
      <c r="HO296" s="21"/>
      <c r="HP296" s="21"/>
      <c r="HQ296" s="21"/>
      <c r="HR296" s="21"/>
      <c r="HS296" s="21"/>
      <c r="HT296" s="21"/>
      <c r="HU296" s="21"/>
      <c r="HV296" s="21"/>
      <c r="HW296" s="21"/>
      <c r="HX296" s="21"/>
      <c r="HY296" s="168">
        <v>17893843</v>
      </c>
      <c r="HZ296" s="168">
        <v>18589264</v>
      </c>
      <c r="IA296" s="21"/>
      <c r="IB296" s="21"/>
      <c r="IC296" s="21"/>
      <c r="ID296" s="21"/>
      <c r="IE296" s="168">
        <v>6281134</v>
      </c>
      <c r="IF296" s="168">
        <v>5419738</v>
      </c>
      <c r="IG296" s="21"/>
      <c r="IH296" s="21"/>
      <c r="II296" s="21"/>
      <c r="IJ296" s="21"/>
      <c r="IK296" s="21"/>
      <c r="IL296" s="21"/>
      <c r="IM296" s="21"/>
      <c r="IN296" s="21"/>
      <c r="IO296" s="21"/>
      <c r="IP296" s="21"/>
      <c r="IQ296" s="21"/>
      <c r="IR296" s="21"/>
      <c r="IS296" s="21"/>
      <c r="IT296" s="21"/>
      <c r="IU296" s="21"/>
      <c r="IV296" s="21"/>
      <c r="IW296" s="168">
        <v>14244841</v>
      </c>
      <c r="IX296" s="168">
        <v>10228068</v>
      </c>
      <c r="IY296" s="168">
        <v>-1989313</v>
      </c>
      <c r="IZ296" s="168">
        <v>-4713793</v>
      </c>
      <c r="JA296" s="21"/>
      <c r="JB296" s="21"/>
      <c r="JC296" s="21"/>
      <c r="JD296" s="21"/>
      <c r="JE296" s="21"/>
      <c r="JF296" s="21"/>
      <c r="JG296" s="21"/>
      <c r="JH296" s="21"/>
      <c r="JI296" s="168">
        <v>343892932</v>
      </c>
      <c r="JJ296" s="168">
        <v>373245741</v>
      </c>
      <c r="JK296" s="168">
        <v>13600022</v>
      </c>
      <c r="JL296" s="168">
        <v>9913182</v>
      </c>
      <c r="JM296" s="168">
        <v>358137573</v>
      </c>
      <c r="JN296" s="168">
        <v>383471809</v>
      </c>
      <c r="JO296" s="168">
        <v>11630709</v>
      </c>
      <c r="JP296" s="168">
        <v>5194386</v>
      </c>
      <c r="JQ296" s="168">
        <v>-43706</v>
      </c>
      <c r="JR296" s="168">
        <v>17440</v>
      </c>
      <c r="JS296" s="168">
        <v>-6563648</v>
      </c>
      <c r="JT296" s="168">
        <v>11764232</v>
      </c>
      <c r="JU296" s="21"/>
      <c r="JV296" s="21"/>
      <c r="JW296" s="168">
        <v>355161406</v>
      </c>
      <c r="JX296" s="168">
        <v>378686908</v>
      </c>
      <c r="JY296" s="21"/>
      <c r="JZ296" s="21"/>
      <c r="KA296" s="21"/>
      <c r="KB296" s="21"/>
      <c r="KC296" s="21"/>
      <c r="KD296" s="21"/>
      <c r="KE296" s="168">
        <v>2868009</v>
      </c>
      <c r="KF296" s="168">
        <v>3841846</v>
      </c>
      <c r="KG296" s="21"/>
      <c r="KH296" s="21"/>
      <c r="KI296" s="168">
        <v>352272117</v>
      </c>
      <c r="KJ296" s="168">
        <v>374786532</v>
      </c>
      <c r="KK296" s="21"/>
      <c r="KL296" s="21"/>
      <c r="KM296" s="21"/>
      <c r="KN296" s="21"/>
      <c r="KO296" s="21"/>
      <c r="KP296" s="21"/>
      <c r="KQ296" s="21"/>
      <c r="KR296" s="21"/>
      <c r="KS296" s="21"/>
      <c r="KT296" s="21"/>
      <c r="KU296" s="168">
        <v>327758959</v>
      </c>
      <c r="KV296" s="168">
        <v>250927878</v>
      </c>
      <c r="KW296" s="21"/>
      <c r="KX296" s="21"/>
      <c r="KY296" s="21"/>
      <c r="KZ296" s="21"/>
      <c r="LA296" s="168">
        <v>22757373</v>
      </c>
      <c r="LB296" s="168">
        <v>22757373</v>
      </c>
      <c r="LC296" s="21"/>
      <c r="LD296" s="21"/>
      <c r="LE296" s="21"/>
      <c r="LF296" s="21"/>
      <c r="LG296" s="21"/>
      <c r="LH296" s="21"/>
      <c r="LI296" s="168">
        <v>1727301</v>
      </c>
      <c r="LJ296" s="168">
        <v>391869</v>
      </c>
      <c r="LK296" s="21"/>
      <c r="LL296" s="21"/>
      <c r="LM296" s="21"/>
      <c r="LN296" s="21"/>
      <c r="LO296" s="21"/>
      <c r="LP296" s="21"/>
      <c r="LQ296" s="21"/>
      <c r="LR296" s="21"/>
      <c r="LS296" s="21"/>
      <c r="LT296" s="21"/>
      <c r="LU296" s="21"/>
      <c r="LV296" s="21"/>
      <c r="LW296" s="21"/>
      <c r="LX296" s="21"/>
      <c r="LY296" s="21"/>
      <c r="LZ296" s="21"/>
      <c r="MA296" s="21"/>
      <c r="MB296" s="21"/>
      <c r="MC296" s="21"/>
      <c r="MD296" s="21"/>
      <c r="ME296" s="21"/>
      <c r="MF296" s="21"/>
      <c r="MG296" s="21"/>
      <c r="MH296" s="21"/>
      <c r="MI296" s="21"/>
      <c r="MJ296" s="21"/>
      <c r="MK296" s="21"/>
      <c r="ML296" s="21"/>
      <c r="MM296" s="168">
        <v>524128</v>
      </c>
      <c r="MN296" s="168">
        <v>912968</v>
      </c>
      <c r="MO296" s="21"/>
      <c r="MP296" s="21"/>
      <c r="MQ296" s="21"/>
      <c r="MR296" s="21"/>
      <c r="MS296" s="21"/>
      <c r="MT296" s="21"/>
      <c r="MU296" s="21"/>
      <c r="MV296" s="21"/>
      <c r="MW296" s="168">
        <v>2275737</v>
      </c>
      <c r="MX296" s="168">
        <v>2275737</v>
      </c>
      <c r="MY296" s="21"/>
      <c r="MZ296" s="21"/>
      <c r="NA296" s="21"/>
      <c r="NB296" s="21"/>
      <c r="NC296" s="21"/>
      <c r="ND296" s="21"/>
      <c r="NE296" s="21"/>
      <c r="NF296" s="21"/>
      <c r="NG296" s="168">
        <v>358316722</v>
      </c>
      <c r="NH296" s="168">
        <v>281659425</v>
      </c>
      <c r="NI296" s="168">
        <v>357289192</v>
      </c>
      <c r="NJ296" s="168">
        <v>358459832</v>
      </c>
      <c r="NK296" s="168">
        <v>362389292</v>
      </c>
      <c r="NL296" s="168">
        <v>385354443</v>
      </c>
      <c r="NM296" s="168">
        <v>151709027</v>
      </c>
      <c r="NN296" s="168">
        <v>135015430</v>
      </c>
      <c r="NO296" s="168">
        <v>530576743</v>
      </c>
      <c r="NP296" s="168">
        <v>571082240</v>
      </c>
      <c r="NQ296" s="168" t="s">
        <v>1429</v>
      </c>
      <c r="NR296" s="168" t="s">
        <v>769</v>
      </c>
      <c r="NS296" s="168" t="s">
        <v>770</v>
      </c>
      <c r="NT296" s="168" t="s">
        <v>771</v>
      </c>
      <c r="NU296" s="168">
        <v>303</v>
      </c>
      <c r="NV296" s="168" t="s">
        <v>2104</v>
      </c>
      <c r="NW296" s="168" t="s">
        <v>28</v>
      </c>
      <c r="NX296" s="168" t="s">
        <v>25</v>
      </c>
      <c r="NY296" s="169">
        <v>42766</v>
      </c>
      <c r="NZ296" s="169">
        <v>42400</v>
      </c>
      <c r="OA296" s="169">
        <v>43088</v>
      </c>
      <c r="OB296" s="168" t="s">
        <v>1430</v>
      </c>
      <c r="OC296" s="168">
        <v>12</v>
      </c>
      <c r="OD296" s="168" t="s">
        <v>2105</v>
      </c>
      <c r="OE296" s="168" t="s">
        <v>2272</v>
      </c>
      <c r="OF296" s="168" t="s">
        <v>2529</v>
      </c>
      <c r="OG296" s="168" t="s">
        <v>2013</v>
      </c>
      <c r="OH296" s="168" t="s">
        <v>954</v>
      </c>
      <c r="OI296" s="168" t="s">
        <v>766</v>
      </c>
      <c r="OJ296" s="168" t="s">
        <v>3240</v>
      </c>
      <c r="OK296" s="168" t="s">
        <v>767</v>
      </c>
    </row>
    <row r="297" spans="1:401" x14ac:dyDescent="0.2">
      <c r="A297" s="170" t="str">
        <f>Liste[[#This Row],[Siren]]</f>
        <v>433854353</v>
      </c>
      <c r="B297" s="198" t="str">
        <f>Liste[[#This Row],[Dénomination]]&amp;" - comptes "&amp;YEAR(Liste[[#This Row],[Date de cloture de l''exercice]])</f>
        <v>GROUPE PHILIPPE BOULOUX - comptes 2017</v>
      </c>
      <c r="C297" s="21"/>
      <c r="D297" s="21"/>
      <c r="E297" s="168">
        <v>3460</v>
      </c>
      <c r="F297" s="168">
        <v>7311488</v>
      </c>
      <c r="G297" s="168">
        <v>7211038</v>
      </c>
      <c r="H297" s="168">
        <v>7314948</v>
      </c>
      <c r="I297" s="168">
        <v>28710330</v>
      </c>
      <c r="J297" s="168">
        <v>13324266</v>
      </c>
      <c r="K297" s="168">
        <v>11909190</v>
      </c>
      <c r="L297" s="168">
        <v>42034596</v>
      </c>
      <c r="M297" s="21"/>
      <c r="N297" s="168">
        <v>1526819</v>
      </c>
      <c r="O297" s="168">
        <v>1421252</v>
      </c>
      <c r="P297" s="168">
        <v>1526819</v>
      </c>
      <c r="Q297" s="21"/>
      <c r="R297" s="21"/>
      <c r="S297" s="21"/>
      <c r="T297" s="21"/>
      <c r="U297" s="21"/>
      <c r="V297" s="168">
        <v>1019</v>
      </c>
      <c r="W297" s="168">
        <v>1019</v>
      </c>
      <c r="X297" s="168">
        <v>1019</v>
      </c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168">
        <v>2701093</v>
      </c>
      <c r="BA297" s="168">
        <v>2663639</v>
      </c>
      <c r="BB297" s="168">
        <v>2701093</v>
      </c>
      <c r="BC297" s="168">
        <v>96491</v>
      </c>
      <c r="BD297" s="168">
        <v>7390276</v>
      </c>
      <c r="BE297" s="168">
        <v>9094952</v>
      </c>
      <c r="BF297" s="168">
        <v>7486767</v>
      </c>
      <c r="BG297" s="168">
        <v>803532</v>
      </c>
      <c r="BH297" s="168">
        <v>375319</v>
      </c>
      <c r="BI297" s="168">
        <v>431790</v>
      </c>
      <c r="BJ297" s="168">
        <v>1178851</v>
      </c>
      <c r="BK297" s="168">
        <v>2155868</v>
      </c>
      <c r="BL297" s="168">
        <v>202255</v>
      </c>
      <c r="BM297" s="168">
        <v>259412</v>
      </c>
      <c r="BN297" s="168">
        <v>2358123</v>
      </c>
      <c r="BO297" s="21"/>
      <c r="BP297" s="21"/>
      <c r="BQ297" s="21"/>
      <c r="BR297" s="21"/>
      <c r="BS297" s="21"/>
      <c r="BT297" s="21"/>
      <c r="BU297" s="21"/>
      <c r="BV297" s="21"/>
      <c r="BW297" s="21"/>
      <c r="BX297" s="168">
        <v>2855777</v>
      </c>
      <c r="BY297" s="168">
        <v>2414181</v>
      </c>
      <c r="BZ297" s="168">
        <v>2855777</v>
      </c>
      <c r="CA297" s="168">
        <v>5400</v>
      </c>
      <c r="CB297" s="168">
        <v>17566</v>
      </c>
      <c r="CC297" s="168">
        <v>5400</v>
      </c>
      <c r="CD297" s="168">
        <v>11610085</v>
      </c>
      <c r="CE297" s="168">
        <v>2827327</v>
      </c>
      <c r="CF297" s="168">
        <v>3549197</v>
      </c>
      <c r="CG297" s="168">
        <v>14437412</v>
      </c>
      <c r="CH297" s="21"/>
      <c r="CI297" s="21"/>
      <c r="CJ297" s="21"/>
      <c r="CK297" s="21"/>
      <c r="CL297" s="21"/>
      <c r="CM297" s="21"/>
      <c r="CN297" s="21"/>
      <c r="CO297" s="21"/>
      <c r="CP297" s="168">
        <v>440618</v>
      </c>
      <c r="CQ297" s="168">
        <v>2274414</v>
      </c>
      <c r="CR297" s="168">
        <v>2529169</v>
      </c>
      <c r="CS297" s="168">
        <v>2715032</v>
      </c>
      <c r="CT297" s="21"/>
      <c r="CU297" s="21"/>
      <c r="CV297" s="21"/>
      <c r="CW297" s="21"/>
      <c r="CX297" s="21"/>
      <c r="CY297" s="21"/>
      <c r="CZ297" s="21"/>
      <c r="DA297" s="21"/>
      <c r="DB297" s="21"/>
      <c r="DC297" s="168">
        <v>35787</v>
      </c>
      <c r="DD297" s="168">
        <v>1469234</v>
      </c>
      <c r="DE297" s="168">
        <v>35787</v>
      </c>
      <c r="DF297" s="168">
        <v>691001</v>
      </c>
      <c r="DG297" s="168">
        <v>3280</v>
      </c>
      <c r="DH297" s="168">
        <v>5157</v>
      </c>
      <c r="DI297" s="168">
        <v>694281</v>
      </c>
      <c r="DJ297" s="168">
        <v>387877</v>
      </c>
      <c r="DK297" s="168">
        <v>6218330</v>
      </c>
      <c r="DL297" s="168">
        <v>6775754</v>
      </c>
      <c r="DM297" s="168">
        <v>6606207</v>
      </c>
      <c r="DN297" s="21"/>
      <c r="DO297" s="168">
        <v>368580</v>
      </c>
      <c r="DP297" s="168">
        <v>500854</v>
      </c>
      <c r="DQ297" s="168">
        <v>368580</v>
      </c>
      <c r="DR297" s="21"/>
      <c r="DS297" s="21"/>
      <c r="DT297" s="21"/>
      <c r="DU297" s="21"/>
      <c r="DV297" s="21"/>
      <c r="DW297" s="21"/>
      <c r="DX297" s="21"/>
      <c r="DY297" s="21"/>
      <c r="DZ297" s="21"/>
      <c r="EA297" s="21"/>
      <c r="EB297" s="21"/>
      <c r="EC297" s="168">
        <v>3537177</v>
      </c>
      <c r="ED297" s="168">
        <v>13291578</v>
      </c>
      <c r="EE297" s="168">
        <v>14299799</v>
      </c>
      <c r="EF297" s="168">
        <v>16828755</v>
      </c>
      <c r="EG297" s="21"/>
      <c r="EH297" s="21"/>
      <c r="EI297" s="21"/>
      <c r="EJ297" s="21"/>
      <c r="EK297" s="168">
        <v>44411434</v>
      </c>
      <c r="EL297" s="168">
        <v>20709677</v>
      </c>
      <c r="EM297" s="168">
        <v>21714611</v>
      </c>
      <c r="EN297" s="168">
        <v>65121111</v>
      </c>
      <c r="EO297" s="168">
        <v>4025005</v>
      </c>
      <c r="EP297" s="168">
        <v>40137123</v>
      </c>
      <c r="EQ297" s="168">
        <v>42960217</v>
      </c>
      <c r="ER297" s="168">
        <v>44162128</v>
      </c>
      <c r="ES297" s="168">
        <v>48436439</v>
      </c>
      <c r="ET297" s="168">
        <v>60852206</v>
      </c>
      <c r="EU297" s="168">
        <v>64692399</v>
      </c>
      <c r="EV297" s="168">
        <v>109288645</v>
      </c>
      <c r="EW297" s="21"/>
      <c r="EX297" s="168">
        <v>139191</v>
      </c>
      <c r="EY297" s="168">
        <v>139191</v>
      </c>
      <c r="EZ297" s="168">
        <v>139191</v>
      </c>
      <c r="FA297" s="21"/>
      <c r="FB297" s="21"/>
      <c r="FC297" s="21"/>
      <c r="FD297" s="21"/>
      <c r="FE297" s="21"/>
      <c r="FF297" s="21"/>
      <c r="FG297" s="21"/>
      <c r="FH297" s="21"/>
      <c r="FI297" s="168">
        <v>-238745</v>
      </c>
      <c r="FJ297" s="168">
        <v>-491612</v>
      </c>
      <c r="FK297" s="21"/>
      <c r="FL297" s="21"/>
      <c r="FM297" s="168">
        <v>7273</v>
      </c>
      <c r="FN297" s="168">
        <v>83936</v>
      </c>
      <c r="FO297" s="168">
        <v>294829</v>
      </c>
      <c r="FP297" s="168">
        <v>723313</v>
      </c>
      <c r="FQ297" s="168">
        <v>721870</v>
      </c>
      <c r="FR297" s="168">
        <v>721871</v>
      </c>
      <c r="FS297" s="168">
        <v>382205</v>
      </c>
      <c r="FT297" s="168">
        <v>290004</v>
      </c>
      <c r="FU297" s="21"/>
      <c r="FV297" s="21"/>
      <c r="FW297" s="168">
        <v>-918917</v>
      </c>
      <c r="FX297" s="168">
        <v>-816480</v>
      </c>
      <c r="FY297" s="168">
        <v>-62185</v>
      </c>
      <c r="FZ297" s="168">
        <v>-65402</v>
      </c>
      <c r="GA297" s="21"/>
      <c r="GB297" s="21"/>
      <c r="GC297" s="168">
        <v>4062</v>
      </c>
      <c r="GD297" s="168">
        <v>7824</v>
      </c>
      <c r="GE297" s="168">
        <v>219704</v>
      </c>
      <c r="GF297" s="168">
        <v>263</v>
      </c>
      <c r="GG297" s="21"/>
      <c r="GH297" s="21"/>
      <c r="GI297" s="21"/>
      <c r="GJ297" s="21"/>
      <c r="GK297" s="168">
        <v>221796</v>
      </c>
      <c r="GL297" s="168">
        <v>333</v>
      </c>
      <c r="GM297" s="168">
        <v>-1885967</v>
      </c>
      <c r="GN297" s="168">
        <v>-1797683</v>
      </c>
      <c r="GO297" s="168">
        <v>-1164097</v>
      </c>
      <c r="GP297" s="168">
        <v>-1075812</v>
      </c>
      <c r="GQ297" s="21"/>
      <c r="GR297" s="21"/>
      <c r="GS297" s="168">
        <v>-1823782</v>
      </c>
      <c r="GT297" s="168">
        <v>-1732281</v>
      </c>
      <c r="GU297" s="168">
        <v>684307</v>
      </c>
      <c r="GV297" s="168">
        <v>1097253</v>
      </c>
      <c r="GW297" s="168">
        <v>445562</v>
      </c>
      <c r="GX297" s="168">
        <v>605641</v>
      </c>
      <c r="GY297" s="168">
        <v>15814446</v>
      </c>
      <c r="GZ297" s="168">
        <v>14707073</v>
      </c>
      <c r="HA297" s="168">
        <v>31121556</v>
      </c>
      <c r="HB297" s="168">
        <v>30542364</v>
      </c>
      <c r="HC297" s="168">
        <v>20357074</v>
      </c>
      <c r="HD297" s="168">
        <v>19373548</v>
      </c>
      <c r="HE297" s="168">
        <v>655079</v>
      </c>
      <c r="HF297" s="168">
        <v>1039195</v>
      </c>
      <c r="HG297" s="168">
        <v>14050</v>
      </c>
      <c r="HH297" s="168">
        <v>9834</v>
      </c>
      <c r="HI297" s="168">
        <v>169626</v>
      </c>
      <c r="HJ297" s="168">
        <v>154190</v>
      </c>
      <c r="HK297" s="21"/>
      <c r="HL297" s="21"/>
      <c r="HM297" s="21"/>
      <c r="HN297" s="21"/>
      <c r="HO297" s="168">
        <v>4217564</v>
      </c>
      <c r="HP297" s="168">
        <v>4239463</v>
      </c>
      <c r="HQ297" s="168">
        <v>183545</v>
      </c>
      <c r="HR297" s="168">
        <v>320849</v>
      </c>
      <c r="HS297" s="168">
        <v>344185</v>
      </c>
      <c r="HT297" s="168">
        <v>187922</v>
      </c>
      <c r="HU297" s="168">
        <v>3594265</v>
      </c>
      <c r="HV297" s="168">
        <v>3258657</v>
      </c>
      <c r="HW297" s="21"/>
      <c r="HX297" s="21"/>
      <c r="HY297" s="168">
        <v>522988</v>
      </c>
      <c r="HZ297" s="168">
        <v>382988</v>
      </c>
      <c r="IA297" s="168">
        <v>4003786</v>
      </c>
      <c r="IB297" s="168">
        <v>3616016</v>
      </c>
      <c r="IC297" s="168">
        <v>5400</v>
      </c>
      <c r="ID297" s="168">
        <v>17566</v>
      </c>
      <c r="IE297" s="168">
        <v>1875204</v>
      </c>
      <c r="IF297" s="168">
        <v>1851210</v>
      </c>
      <c r="IG297" s="168">
        <v>698326</v>
      </c>
      <c r="IH297" s="168">
        <v>643425</v>
      </c>
      <c r="II297" s="21"/>
      <c r="IJ297" s="21"/>
      <c r="IK297" s="21"/>
      <c r="IL297" s="21"/>
      <c r="IM297" s="168">
        <v>-641514</v>
      </c>
      <c r="IN297" s="168">
        <v>-4458076</v>
      </c>
      <c r="IO297" s="168">
        <v>77</v>
      </c>
      <c r="IP297" s="168">
        <v>76</v>
      </c>
      <c r="IQ297" s="21"/>
      <c r="IR297" s="21"/>
      <c r="IS297" s="21"/>
      <c r="IT297" s="21"/>
      <c r="IU297" s="168">
        <v>-1844269</v>
      </c>
      <c r="IV297" s="168">
        <v>-1400680</v>
      </c>
      <c r="IW297" s="168">
        <v>-1334870</v>
      </c>
      <c r="IX297" s="168">
        <v>-713648</v>
      </c>
      <c r="IY297" s="168">
        <v>-509399</v>
      </c>
      <c r="IZ297" s="168">
        <v>-687032</v>
      </c>
      <c r="JA297" s="168">
        <v>4014597</v>
      </c>
      <c r="JB297" s="168">
        <v>5110869</v>
      </c>
      <c r="JC297" s="168">
        <v>17566</v>
      </c>
      <c r="JD297" s="168">
        <v>96984</v>
      </c>
      <c r="JE297" s="168">
        <v>14033702</v>
      </c>
      <c r="JF297" s="168">
        <v>13744070</v>
      </c>
      <c r="JG297" s="21"/>
      <c r="JH297" s="21"/>
      <c r="JI297" s="168">
        <v>96927244</v>
      </c>
      <c r="JJ297" s="168">
        <v>92575486</v>
      </c>
      <c r="JK297" s="168">
        <v>885278</v>
      </c>
      <c r="JL297" s="168">
        <v>981849</v>
      </c>
      <c r="JM297" s="168">
        <v>95592374</v>
      </c>
      <c r="JN297" s="168">
        <v>91861838</v>
      </c>
      <c r="JO297" s="168">
        <v>375879</v>
      </c>
      <c r="JP297" s="168">
        <v>294817</v>
      </c>
      <c r="JQ297" s="168">
        <v>598022</v>
      </c>
      <c r="JR297" s="168">
        <v>-179402</v>
      </c>
      <c r="JS297" s="168">
        <v>133558</v>
      </c>
      <c r="JT297" s="168">
        <v>304</v>
      </c>
      <c r="JU297" s="168">
        <v>1025366</v>
      </c>
      <c r="JV297" s="21"/>
      <c r="JW297" s="168">
        <v>92049665</v>
      </c>
      <c r="JX297" s="168">
        <v>91054855</v>
      </c>
      <c r="JY297" s="168">
        <v>1023255</v>
      </c>
      <c r="JZ297" s="21"/>
      <c r="KA297" s="168">
        <v>65266748</v>
      </c>
      <c r="KB297" s="168">
        <v>68080709</v>
      </c>
      <c r="KC297" s="168">
        <v>2111</v>
      </c>
      <c r="KD297" s="21"/>
      <c r="KE297" s="168">
        <v>98551</v>
      </c>
      <c r="KF297" s="168">
        <v>84454</v>
      </c>
      <c r="KG297" s="21"/>
      <c r="KH297" s="21"/>
      <c r="KI297" s="168">
        <v>25659000</v>
      </c>
      <c r="KJ297" s="168">
        <v>21998098</v>
      </c>
      <c r="KK297" s="168">
        <v>57762</v>
      </c>
      <c r="KL297" s="168">
        <v>31945</v>
      </c>
      <c r="KM297" s="21"/>
      <c r="KN297" s="21"/>
      <c r="KO297" s="21"/>
      <c r="KP297" s="21"/>
      <c r="KQ297" s="21"/>
      <c r="KR297" s="21"/>
      <c r="KS297" s="21"/>
      <c r="KT297" s="21"/>
      <c r="KU297" s="168">
        <v>12353426</v>
      </c>
      <c r="KV297" s="168">
        <v>13454618</v>
      </c>
      <c r="KW297" s="21"/>
      <c r="KX297" s="21"/>
      <c r="KY297" s="168">
        <v>13836941</v>
      </c>
      <c r="KZ297" s="168">
        <v>15238956</v>
      </c>
      <c r="LA297" s="168">
        <v>15836260</v>
      </c>
      <c r="LB297" s="168">
        <v>15836260</v>
      </c>
      <c r="LC297" s="21"/>
      <c r="LD297" s="21"/>
      <c r="LE297" s="168">
        <v>-62185</v>
      </c>
      <c r="LF297" s="168">
        <v>-65402</v>
      </c>
      <c r="LG297" s="21"/>
      <c r="LH297" s="21"/>
      <c r="LI297" s="168">
        <v>80970</v>
      </c>
      <c r="LJ297" s="168">
        <v>709652</v>
      </c>
      <c r="LK297" s="168">
        <v>6265894</v>
      </c>
      <c r="LL297" s="168">
        <v>5200585</v>
      </c>
      <c r="LM297" s="168">
        <v>3806581</v>
      </c>
      <c r="LN297" s="168">
        <v>1833044</v>
      </c>
      <c r="LO297" s="21"/>
      <c r="LP297" s="21"/>
      <c r="LQ297" s="21"/>
      <c r="LR297" s="21"/>
      <c r="LS297" s="21"/>
      <c r="LT297" s="21"/>
      <c r="LU297" s="21"/>
      <c r="LV297" s="21"/>
      <c r="LW297" s="21"/>
      <c r="LX297" s="21"/>
      <c r="LY297" s="21"/>
      <c r="LZ297" s="21"/>
      <c r="MA297" s="168">
        <v>10014425</v>
      </c>
      <c r="MB297" s="168">
        <v>13683763</v>
      </c>
      <c r="MC297" s="168">
        <v>1274</v>
      </c>
      <c r="MD297" s="168">
        <v>5687</v>
      </c>
      <c r="ME297" s="21"/>
      <c r="MF297" s="21"/>
      <c r="MG297" s="21"/>
      <c r="MH297" s="21"/>
      <c r="MI297" s="21"/>
      <c r="MJ297" s="21"/>
      <c r="MK297" s="21"/>
      <c r="ML297" s="21"/>
      <c r="MM297" s="21"/>
      <c r="MN297" s="168">
        <v>5766</v>
      </c>
      <c r="MO297" s="168">
        <v>808564</v>
      </c>
      <c r="MP297" s="168">
        <v>662357</v>
      </c>
      <c r="MQ297" s="168">
        <v>713661</v>
      </c>
      <c r="MR297" s="168">
        <v>642020</v>
      </c>
      <c r="MS297" s="21"/>
      <c r="MT297" s="21"/>
      <c r="MU297" s="21"/>
      <c r="MV297" s="168">
        <v>498299</v>
      </c>
      <c r="MW297" s="168">
        <v>1583626</v>
      </c>
      <c r="MX297" s="168">
        <v>1583626</v>
      </c>
      <c r="MY297" s="21"/>
      <c r="MZ297" s="21"/>
      <c r="NA297" s="21"/>
      <c r="NB297" s="21"/>
      <c r="NC297" s="168">
        <v>-1823782</v>
      </c>
      <c r="ND297" s="168">
        <v>-1732281</v>
      </c>
      <c r="NE297" s="168">
        <v>1238085</v>
      </c>
      <c r="NF297" s="168">
        <v>764609</v>
      </c>
      <c r="NG297" s="168">
        <v>24196118</v>
      </c>
      <c r="NH297" s="168">
        <v>25545606</v>
      </c>
      <c r="NI297" s="21"/>
      <c r="NJ297" s="21"/>
      <c r="NK297" s="168">
        <v>1070011</v>
      </c>
      <c r="NL297" s="168">
        <v>1133014</v>
      </c>
      <c r="NM297" s="168">
        <v>34006085</v>
      </c>
      <c r="NN297" s="168">
        <v>36677453</v>
      </c>
      <c r="NO297" s="168">
        <v>60852206</v>
      </c>
      <c r="NP297" s="168">
        <v>64692399</v>
      </c>
      <c r="NQ297" s="168" t="s">
        <v>1394</v>
      </c>
      <c r="NR297" s="168" t="s">
        <v>797</v>
      </c>
      <c r="NS297" s="168" t="s">
        <v>770</v>
      </c>
      <c r="NT297" s="168" t="s">
        <v>771</v>
      </c>
      <c r="NU297" s="168">
        <v>8101</v>
      </c>
      <c r="NV297" s="168" t="s">
        <v>2104</v>
      </c>
      <c r="NW297" s="168" t="s">
        <v>28</v>
      </c>
      <c r="NX297" s="168" t="s">
        <v>25</v>
      </c>
      <c r="NY297" s="169">
        <v>42766</v>
      </c>
      <c r="NZ297" s="169">
        <v>42400</v>
      </c>
      <c r="OA297" s="169">
        <v>43125</v>
      </c>
      <c r="OB297" s="168" t="s">
        <v>3355</v>
      </c>
      <c r="OC297" s="168">
        <v>12</v>
      </c>
      <c r="OD297" s="168" t="s">
        <v>2105</v>
      </c>
      <c r="OE297" s="168" t="s">
        <v>2119</v>
      </c>
      <c r="OF297" s="168" t="s">
        <v>3356</v>
      </c>
      <c r="OG297" s="168" t="s">
        <v>3357</v>
      </c>
      <c r="OH297" s="168" t="s">
        <v>1308</v>
      </c>
      <c r="OI297" s="168" t="s">
        <v>766</v>
      </c>
      <c r="OJ297" s="168" t="s">
        <v>3240</v>
      </c>
      <c r="OK297" s="168" t="s">
        <v>796</v>
      </c>
    </row>
    <row r="298" spans="1:401" x14ac:dyDescent="0.2">
      <c r="A298" s="170" t="str">
        <f>Liste[[#This Row],[Siren]]</f>
        <v>451726582</v>
      </c>
      <c r="B298" s="198" t="str">
        <f>Liste[[#This Row],[Dénomination]]&amp;" - comptes "&amp;YEAR(Liste[[#This Row],[Date de cloture de l''exercice]])</f>
        <v>S.P.C. HOLDING - comptes 2017</v>
      </c>
      <c r="C298" s="21"/>
      <c r="D298" s="21"/>
      <c r="E298" s="21"/>
      <c r="F298" s="168">
        <v>2340045</v>
      </c>
      <c r="G298" s="168">
        <v>2540658</v>
      </c>
      <c r="H298" s="168">
        <v>2340045</v>
      </c>
      <c r="I298" s="168">
        <v>10654936</v>
      </c>
      <c r="J298" s="168">
        <v>5045544</v>
      </c>
      <c r="K298" s="168">
        <v>4889405</v>
      </c>
      <c r="L298" s="168">
        <v>15700480</v>
      </c>
      <c r="M298" s="21"/>
      <c r="N298" s="21"/>
      <c r="O298" s="21"/>
      <c r="P298" s="21"/>
      <c r="Q298" s="21"/>
      <c r="R298" s="168">
        <v>114337</v>
      </c>
      <c r="S298" s="168">
        <v>114337</v>
      </c>
      <c r="T298" s="168">
        <v>114337</v>
      </c>
      <c r="U298" s="21"/>
      <c r="V298" s="21"/>
      <c r="W298" s="21"/>
      <c r="X298" s="21"/>
      <c r="Y298" s="21"/>
      <c r="Z298" s="168">
        <v>3345</v>
      </c>
      <c r="AA298" s="168">
        <v>3345</v>
      </c>
      <c r="AB298" s="168">
        <v>3345</v>
      </c>
      <c r="AC298" s="21"/>
      <c r="AD298" s="21"/>
      <c r="AE298" s="168">
        <v>50159</v>
      </c>
      <c r="AF298" s="21"/>
      <c r="AG298" s="21"/>
      <c r="AH298" s="21"/>
      <c r="AI298" s="21"/>
      <c r="AJ298" s="21"/>
      <c r="AK298" s="21"/>
      <c r="AL298" s="168">
        <v>403660</v>
      </c>
      <c r="AM298" s="168">
        <v>389999</v>
      </c>
      <c r="AN298" s="168">
        <v>403660</v>
      </c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168">
        <v>561935</v>
      </c>
      <c r="BA298" s="168">
        <v>452253</v>
      </c>
      <c r="BB298" s="168">
        <v>561935</v>
      </c>
      <c r="BC298" s="168">
        <v>1488</v>
      </c>
      <c r="BD298" s="168">
        <v>347506</v>
      </c>
      <c r="BE298" s="168">
        <v>286884</v>
      </c>
      <c r="BF298" s="168">
        <v>348994</v>
      </c>
      <c r="BG298" s="168">
        <v>179909</v>
      </c>
      <c r="BH298" s="168">
        <v>7246</v>
      </c>
      <c r="BI298" s="168">
        <v>9382</v>
      </c>
      <c r="BJ298" s="168">
        <v>187155</v>
      </c>
      <c r="BK298" s="168">
        <v>2349607</v>
      </c>
      <c r="BL298" s="168">
        <v>384653</v>
      </c>
      <c r="BM298" s="168">
        <v>425231</v>
      </c>
      <c r="BN298" s="168">
        <v>2734260</v>
      </c>
      <c r="BO298" s="21"/>
      <c r="BP298" s="21"/>
      <c r="BQ298" s="21"/>
      <c r="BR298" s="21"/>
      <c r="BS298" s="21"/>
      <c r="BT298" s="21"/>
      <c r="BU298" s="21"/>
      <c r="BV298" s="21"/>
      <c r="BW298" s="21"/>
      <c r="BX298" s="168">
        <v>3245292</v>
      </c>
      <c r="BY298" s="168">
        <v>2544836</v>
      </c>
      <c r="BZ298" s="168">
        <v>3245292</v>
      </c>
      <c r="CA298" s="21"/>
      <c r="CB298" s="21"/>
      <c r="CC298" s="21"/>
      <c r="CD298" s="168">
        <v>2739325</v>
      </c>
      <c r="CE298" s="168">
        <v>3582195</v>
      </c>
      <c r="CF298" s="168">
        <v>3792912</v>
      </c>
      <c r="CG298" s="168">
        <v>6321520</v>
      </c>
      <c r="CH298" s="21"/>
      <c r="CI298" s="21"/>
      <c r="CJ298" s="21"/>
      <c r="CK298" s="21"/>
      <c r="CL298" s="21"/>
      <c r="CM298" s="21"/>
      <c r="CN298" s="21"/>
      <c r="CO298" s="21"/>
      <c r="CP298" s="21"/>
      <c r="CQ298" s="21"/>
      <c r="CR298" s="21"/>
      <c r="CS298" s="21"/>
      <c r="CT298" s="21"/>
      <c r="CU298" s="21"/>
      <c r="CV298" s="21"/>
      <c r="CW298" s="21"/>
      <c r="CX298" s="21"/>
      <c r="CY298" s="21"/>
      <c r="CZ298" s="21"/>
      <c r="DA298" s="21"/>
      <c r="DB298" s="21"/>
      <c r="DC298" s="21"/>
      <c r="DD298" s="21"/>
      <c r="DE298" s="21"/>
      <c r="DF298" s="168">
        <v>3563501</v>
      </c>
      <c r="DG298" s="168">
        <v>334874</v>
      </c>
      <c r="DH298" s="168">
        <v>454889</v>
      </c>
      <c r="DI298" s="168">
        <v>3898375</v>
      </c>
      <c r="DJ298" s="168">
        <v>187522</v>
      </c>
      <c r="DK298" s="168">
        <v>8436720</v>
      </c>
      <c r="DL298" s="168">
        <v>8031790</v>
      </c>
      <c r="DM298" s="168">
        <v>8624242</v>
      </c>
      <c r="DN298" s="21"/>
      <c r="DO298" s="168">
        <v>18727</v>
      </c>
      <c r="DP298" s="168">
        <v>13982</v>
      </c>
      <c r="DQ298" s="168">
        <v>18727</v>
      </c>
      <c r="DR298" s="21"/>
      <c r="DS298" s="21"/>
      <c r="DT298" s="21"/>
      <c r="DU298" s="21"/>
      <c r="DV298" s="21"/>
      <c r="DW298" s="21"/>
      <c r="DX298" s="21"/>
      <c r="DY298" s="21"/>
      <c r="DZ298" s="21"/>
      <c r="EA298" s="21"/>
      <c r="EB298" s="21"/>
      <c r="EC298" s="21"/>
      <c r="ED298" s="21"/>
      <c r="EE298" s="21"/>
      <c r="EF298" s="21"/>
      <c r="EG298" s="21"/>
      <c r="EH298" s="21"/>
      <c r="EI298" s="21"/>
      <c r="EJ298" s="21"/>
      <c r="EK298" s="168">
        <v>16747953</v>
      </c>
      <c r="EL298" s="168">
        <v>8512632</v>
      </c>
      <c r="EM298" s="168">
        <v>8555629</v>
      </c>
      <c r="EN298" s="168">
        <v>25260585</v>
      </c>
      <c r="EO298" s="168">
        <v>189010</v>
      </c>
      <c r="EP298" s="168">
        <v>18367373</v>
      </c>
      <c r="EQ298" s="168">
        <v>17813402</v>
      </c>
      <c r="ER298" s="168">
        <v>18556383</v>
      </c>
      <c r="ES298" s="168">
        <v>19676288</v>
      </c>
      <c r="ET298" s="168">
        <v>30462200</v>
      </c>
      <c r="EU298" s="168">
        <v>30161944</v>
      </c>
      <c r="EV298" s="168">
        <v>50138488</v>
      </c>
      <c r="EW298" s="21"/>
      <c r="EX298" s="168">
        <v>966202</v>
      </c>
      <c r="EY298" s="168">
        <v>966202</v>
      </c>
      <c r="EZ298" s="168">
        <v>966202</v>
      </c>
      <c r="FA298" s="21"/>
      <c r="FB298" s="21"/>
      <c r="FC298" s="21"/>
      <c r="FD298" s="21"/>
      <c r="FE298" s="21"/>
      <c r="FF298" s="168">
        <v>3003000</v>
      </c>
      <c r="FG298" s="168">
        <v>3553000</v>
      </c>
      <c r="FH298" s="168">
        <v>3003000</v>
      </c>
      <c r="FI298" s="168">
        <v>200163</v>
      </c>
      <c r="FJ298" s="168">
        <v>-22916</v>
      </c>
      <c r="FK298" s="168">
        <v>389420</v>
      </c>
      <c r="FL298" s="168">
        <v>426906</v>
      </c>
      <c r="FM298" s="168">
        <v>2</v>
      </c>
      <c r="FN298" s="168">
        <v>13262</v>
      </c>
      <c r="FO298" s="168">
        <v>13951</v>
      </c>
      <c r="FP298" s="21"/>
      <c r="FQ298" s="168">
        <v>210717</v>
      </c>
      <c r="FR298" s="168">
        <v>210717</v>
      </c>
      <c r="FS298" s="168">
        <v>27027</v>
      </c>
      <c r="FT298" s="168">
        <v>51594</v>
      </c>
      <c r="FU298" s="168">
        <v>-37532</v>
      </c>
      <c r="FV298" s="168">
        <v>-16188</v>
      </c>
      <c r="FW298" s="168">
        <v>426952</v>
      </c>
      <c r="FX298" s="168">
        <v>443094</v>
      </c>
      <c r="FY298" s="168">
        <v>15329</v>
      </c>
      <c r="FZ298" s="168">
        <v>17753</v>
      </c>
      <c r="GA298" s="21"/>
      <c r="GB298" s="21"/>
      <c r="GC298" s="21"/>
      <c r="GD298" s="168">
        <v>39940</v>
      </c>
      <c r="GE298" s="168">
        <v>189549</v>
      </c>
      <c r="GF298" s="168">
        <v>2000</v>
      </c>
      <c r="GG298" s="21"/>
      <c r="GH298" s="21"/>
      <c r="GI298" s="21"/>
      <c r="GJ298" s="21"/>
      <c r="GK298" s="168">
        <v>51594</v>
      </c>
      <c r="GL298" s="21"/>
      <c r="GM298" s="168">
        <v>1638841</v>
      </c>
      <c r="GN298" s="168">
        <v>1608245</v>
      </c>
      <c r="GO298" s="168">
        <v>1849558</v>
      </c>
      <c r="GP298" s="168">
        <v>1818962</v>
      </c>
      <c r="GQ298" s="21"/>
      <c r="GR298" s="21"/>
      <c r="GS298" s="168">
        <v>1623512</v>
      </c>
      <c r="GT298" s="168">
        <v>1590492</v>
      </c>
      <c r="GU298" s="168">
        <v>40980</v>
      </c>
      <c r="GV298" s="168">
        <v>64856</v>
      </c>
      <c r="GW298" s="168">
        <v>241143</v>
      </c>
      <c r="GX298" s="168">
        <v>41940</v>
      </c>
      <c r="GY298" s="168">
        <v>79056295</v>
      </c>
      <c r="GZ298" s="168">
        <v>80034489</v>
      </c>
      <c r="HA298" s="168">
        <v>148539</v>
      </c>
      <c r="HB298" s="168">
        <v>161559</v>
      </c>
      <c r="HC298" s="168">
        <v>9069922</v>
      </c>
      <c r="HD298" s="168">
        <v>8641102</v>
      </c>
      <c r="HE298" s="168">
        <v>26676</v>
      </c>
      <c r="HF298" s="168">
        <v>30149</v>
      </c>
      <c r="HG298" s="168">
        <v>110380</v>
      </c>
      <c r="HH298" s="168">
        <v>80171</v>
      </c>
      <c r="HI298" s="168">
        <v>1614</v>
      </c>
      <c r="HJ298" s="168">
        <v>799</v>
      </c>
      <c r="HK298" s="21"/>
      <c r="HL298" s="21"/>
      <c r="HM298" s="21"/>
      <c r="HN298" s="21"/>
      <c r="HO298" s="168">
        <v>2365434</v>
      </c>
      <c r="HP298" s="168">
        <v>2470074</v>
      </c>
      <c r="HQ298" s="21"/>
      <c r="HR298" s="21"/>
      <c r="HS298" s="21"/>
      <c r="HT298" s="21"/>
      <c r="HU298" s="168">
        <v>1225439</v>
      </c>
      <c r="HV298" s="168">
        <v>1096773</v>
      </c>
      <c r="HW298" s="21"/>
      <c r="HX298" s="21"/>
      <c r="HY298" s="21"/>
      <c r="HZ298" s="168">
        <v>92286</v>
      </c>
      <c r="IA298" s="168">
        <v>189010</v>
      </c>
      <c r="IB298" s="168">
        <v>176979</v>
      </c>
      <c r="IC298" s="21"/>
      <c r="ID298" s="21"/>
      <c r="IE298" s="168">
        <v>1403815</v>
      </c>
      <c r="IF298" s="168">
        <v>1538695</v>
      </c>
      <c r="IG298" s="168">
        <v>30220</v>
      </c>
      <c r="IH298" s="168">
        <v>43972</v>
      </c>
      <c r="II298" s="21"/>
      <c r="IJ298" s="21"/>
      <c r="IK298" s="21"/>
      <c r="IL298" s="21"/>
      <c r="IM298" s="21"/>
      <c r="IN298" s="21"/>
      <c r="IO298" s="21"/>
      <c r="IP298" s="21"/>
      <c r="IQ298" s="168">
        <v>2718</v>
      </c>
      <c r="IR298" s="168">
        <v>2046</v>
      </c>
      <c r="IS298" s="21"/>
      <c r="IT298" s="21"/>
      <c r="IU298" s="168">
        <v>2038815</v>
      </c>
      <c r="IV298" s="168">
        <v>2268784</v>
      </c>
      <c r="IW298" s="168">
        <v>1955937</v>
      </c>
      <c r="IX298" s="168">
        <v>2230539</v>
      </c>
      <c r="IY298" s="168">
        <v>82878</v>
      </c>
      <c r="IZ298" s="168">
        <v>38245</v>
      </c>
      <c r="JA298" s="168">
        <v>361735</v>
      </c>
      <c r="JB298" s="168">
        <v>347142</v>
      </c>
      <c r="JC298" s="21"/>
      <c r="JD298" s="21"/>
      <c r="JE298" s="168">
        <v>6799084</v>
      </c>
      <c r="JF298" s="168">
        <v>7164925</v>
      </c>
      <c r="JG298" s="21"/>
      <c r="JH298" s="21"/>
      <c r="JI298" s="168">
        <v>99863352</v>
      </c>
      <c r="JJ298" s="168">
        <v>101003756</v>
      </c>
      <c r="JK298" s="168">
        <v>30220</v>
      </c>
      <c r="JL298" s="168">
        <v>43973</v>
      </c>
      <c r="JM298" s="168">
        <v>363349</v>
      </c>
      <c r="JN298" s="168">
        <v>347941</v>
      </c>
      <c r="JO298" s="21"/>
      <c r="JP298" s="21"/>
      <c r="JQ298" s="168">
        <v>-416117</v>
      </c>
      <c r="JR298" s="168">
        <v>-405354</v>
      </c>
      <c r="JS298" s="168">
        <v>-4745</v>
      </c>
      <c r="JT298" s="168">
        <v>2079</v>
      </c>
      <c r="JU298" s="21"/>
      <c r="JV298" s="21"/>
      <c r="JW298" s="21"/>
      <c r="JX298" s="21"/>
      <c r="JY298" s="21"/>
      <c r="JZ298" s="21"/>
      <c r="KA298" s="21"/>
      <c r="KB298" s="21"/>
      <c r="KC298" s="21"/>
      <c r="KD298" s="21"/>
      <c r="KE298" s="168">
        <v>1851892</v>
      </c>
      <c r="KF298" s="168">
        <v>1989838</v>
      </c>
      <c r="KG298" s="21"/>
      <c r="KH298" s="21"/>
      <c r="KI298" s="168">
        <v>99604048</v>
      </c>
      <c r="KJ298" s="168">
        <v>100896516</v>
      </c>
      <c r="KK298" s="21"/>
      <c r="KL298" s="21"/>
      <c r="KM298" s="21"/>
      <c r="KN298" s="21"/>
      <c r="KO298" s="21"/>
      <c r="KP298" s="21"/>
      <c r="KQ298" s="168">
        <v>1357415</v>
      </c>
      <c r="KR298" s="168">
        <v>1461908</v>
      </c>
      <c r="KS298" s="21"/>
      <c r="KT298" s="21"/>
      <c r="KU298" s="21"/>
      <c r="KV298" s="21"/>
      <c r="KW298" s="21"/>
      <c r="KX298" s="21"/>
      <c r="KY298" s="168">
        <v>147519</v>
      </c>
      <c r="KZ298" s="168">
        <v>101093</v>
      </c>
      <c r="LA298" s="168">
        <v>40000</v>
      </c>
      <c r="LB298" s="168">
        <v>40000</v>
      </c>
      <c r="LC298" s="21"/>
      <c r="LD298" s="21"/>
      <c r="LE298" s="168">
        <v>15329</v>
      </c>
      <c r="LF298" s="168">
        <v>17753</v>
      </c>
      <c r="LG298" s="21"/>
      <c r="LH298" s="21"/>
      <c r="LI298" s="168">
        <v>2779280</v>
      </c>
      <c r="LJ298" s="168">
        <v>2940224</v>
      </c>
      <c r="LK298" s="168">
        <v>8187758</v>
      </c>
      <c r="LL298" s="168">
        <v>8509287</v>
      </c>
      <c r="LM298" s="168">
        <v>45524</v>
      </c>
      <c r="LN298" s="21"/>
      <c r="LO298" s="21"/>
      <c r="LP298" s="21"/>
      <c r="LQ298" s="21"/>
      <c r="LR298" s="21"/>
      <c r="LS298" s="21"/>
      <c r="LT298" s="21"/>
      <c r="LU298" s="21"/>
      <c r="LV298" s="21"/>
      <c r="LW298" s="21"/>
      <c r="LX298" s="21"/>
      <c r="LY298" s="21"/>
      <c r="LZ298" s="21"/>
      <c r="MA298" s="168">
        <v>3970554</v>
      </c>
      <c r="MB298" s="168">
        <v>4654114</v>
      </c>
      <c r="MC298" s="168">
        <v>360375</v>
      </c>
      <c r="MD298" s="168">
        <v>318842</v>
      </c>
      <c r="ME298" s="21"/>
      <c r="MF298" s="21"/>
      <c r="MG298" s="21"/>
      <c r="MH298" s="168">
        <v>27044</v>
      </c>
      <c r="MI298" s="21"/>
      <c r="MJ298" s="21"/>
      <c r="MK298" s="21"/>
      <c r="ML298" s="21"/>
      <c r="MM298" s="168">
        <v>5965</v>
      </c>
      <c r="MN298" s="168">
        <v>6871</v>
      </c>
      <c r="MO298" s="21"/>
      <c r="MP298" s="21"/>
      <c r="MQ298" s="168">
        <v>255422</v>
      </c>
      <c r="MR298" s="168">
        <v>410776</v>
      </c>
      <c r="MS298" s="21"/>
      <c r="MT298" s="21"/>
      <c r="MU298" s="21"/>
      <c r="MV298" s="21"/>
      <c r="MW298" s="168">
        <v>4000</v>
      </c>
      <c r="MX298" s="168">
        <v>4000</v>
      </c>
      <c r="MY298" s="168">
        <v>11417636</v>
      </c>
      <c r="MZ298" s="168">
        <v>9662</v>
      </c>
      <c r="NA298" s="21"/>
      <c r="NB298" s="21"/>
      <c r="NC298" s="168">
        <v>1623512</v>
      </c>
      <c r="ND298" s="168">
        <v>1590492</v>
      </c>
      <c r="NE298" s="21"/>
      <c r="NF298" s="21"/>
      <c r="NG298" s="168">
        <v>13253704</v>
      </c>
      <c r="NH298" s="168">
        <v>11630192</v>
      </c>
      <c r="NI298" s="21"/>
      <c r="NJ298" s="21"/>
      <c r="NK298" s="168">
        <v>98684</v>
      </c>
      <c r="NL298" s="168">
        <v>101595</v>
      </c>
      <c r="NM298" s="168">
        <v>16854390</v>
      </c>
      <c r="NN298" s="168">
        <v>17992339</v>
      </c>
      <c r="NO298" s="168">
        <v>30462200</v>
      </c>
      <c r="NP298" s="168">
        <v>30161944</v>
      </c>
      <c r="NQ298" s="168" t="s">
        <v>3370</v>
      </c>
      <c r="NR298" s="168" t="s">
        <v>769</v>
      </c>
      <c r="NS298" s="168" t="s">
        <v>770</v>
      </c>
      <c r="NT298" s="168" t="s">
        <v>771</v>
      </c>
      <c r="NU298" s="168">
        <v>1203</v>
      </c>
      <c r="NV298" s="168" t="s">
        <v>2104</v>
      </c>
      <c r="NW298" s="168" t="s">
        <v>28</v>
      </c>
      <c r="NX298" s="168" t="s">
        <v>25</v>
      </c>
      <c r="NY298" s="169">
        <v>42766</v>
      </c>
      <c r="NZ298" s="169">
        <v>42400</v>
      </c>
      <c r="OA298" s="169">
        <v>42954</v>
      </c>
      <c r="OB298" s="168" t="s">
        <v>1006</v>
      </c>
      <c r="OC298" s="168">
        <v>12</v>
      </c>
      <c r="OD298" s="168" t="s">
        <v>2105</v>
      </c>
      <c r="OE298" s="168" t="s">
        <v>2210</v>
      </c>
      <c r="OF298" s="168" t="s">
        <v>2211</v>
      </c>
      <c r="OG298" s="168" t="s">
        <v>1842</v>
      </c>
      <c r="OH298" s="168" t="s">
        <v>889</v>
      </c>
      <c r="OI298" s="168" t="s">
        <v>766</v>
      </c>
      <c r="OJ298" s="168" t="s">
        <v>3240</v>
      </c>
      <c r="OK298" s="168" t="s">
        <v>767</v>
      </c>
    </row>
    <row r="299" spans="1:401" x14ac:dyDescent="0.2">
      <c r="A299" s="170" t="str">
        <f>Liste[[#This Row],[Siren]]</f>
        <v>412977738</v>
      </c>
      <c r="B299" s="198" t="str">
        <f>Liste[[#This Row],[Dénomination]]&amp;" - comptes "&amp;YEAR(Liste[[#This Row],[Date de cloture de l''exercice]])</f>
        <v>SODISMONTS - comptes 2017</v>
      </c>
      <c r="C299" s="21"/>
      <c r="D299" s="21"/>
      <c r="E299" s="21"/>
      <c r="F299" s="21"/>
      <c r="G299" s="21"/>
      <c r="H299" s="21"/>
      <c r="I299" s="21"/>
      <c r="J299" s="168">
        <v>1999</v>
      </c>
      <c r="K299" s="168">
        <v>1145</v>
      </c>
      <c r="L299" s="21"/>
      <c r="M299" s="21"/>
      <c r="N299" s="168">
        <v>9</v>
      </c>
      <c r="O299" s="168">
        <v>7</v>
      </c>
      <c r="P299" s="21"/>
      <c r="Q299" s="21"/>
      <c r="R299" s="21"/>
      <c r="S299" s="21"/>
      <c r="T299" s="21"/>
      <c r="U299" s="21"/>
      <c r="V299" s="168">
        <v>30</v>
      </c>
      <c r="W299" s="168">
        <v>30</v>
      </c>
      <c r="X299" s="21"/>
      <c r="Y299" s="21"/>
      <c r="Z299" s="21"/>
      <c r="AA299" s="21"/>
      <c r="AB299" s="21"/>
      <c r="AC299" s="21"/>
      <c r="AD299" s="168">
        <v>61</v>
      </c>
      <c r="AE299" s="168">
        <v>11709</v>
      </c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168">
        <v>323</v>
      </c>
      <c r="BA299" s="168">
        <v>649</v>
      </c>
      <c r="BB299" s="21"/>
      <c r="BC299" s="21"/>
      <c r="BD299" s="21"/>
      <c r="BE299" s="21"/>
      <c r="BF299" s="21"/>
      <c r="BG299" s="21"/>
      <c r="BH299" s="168">
        <v>32</v>
      </c>
      <c r="BI299" s="168">
        <v>35</v>
      </c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168">
        <v>1770</v>
      </c>
      <c r="BY299" s="168">
        <v>1992</v>
      </c>
      <c r="BZ299" s="21"/>
      <c r="CA299" s="21"/>
      <c r="CB299" s="21"/>
      <c r="CC299" s="21"/>
      <c r="CD299" s="21"/>
      <c r="CE299" s="168">
        <v>278</v>
      </c>
      <c r="CF299" s="168">
        <v>325</v>
      </c>
      <c r="CG299" s="21"/>
      <c r="CH299" s="21"/>
      <c r="CI299" s="21"/>
      <c r="CJ299" s="21"/>
      <c r="CK299" s="21"/>
      <c r="CL299" s="21"/>
      <c r="CM299" s="21"/>
      <c r="CN299" s="21"/>
      <c r="CO299" s="21"/>
      <c r="CP299" s="21"/>
      <c r="CQ299" s="21"/>
      <c r="CR299" s="21"/>
      <c r="CS299" s="21"/>
      <c r="CT299" s="21"/>
      <c r="CU299" s="21"/>
      <c r="CV299" s="21"/>
      <c r="CW299" s="21"/>
      <c r="CX299" s="21"/>
      <c r="CY299" s="21"/>
      <c r="CZ299" s="21"/>
      <c r="DA299" s="21"/>
      <c r="DB299" s="21"/>
      <c r="DC299" s="21"/>
      <c r="DD299" s="21"/>
      <c r="DE299" s="21"/>
      <c r="DF299" s="21"/>
      <c r="DG299" s="21"/>
      <c r="DH299" s="21"/>
      <c r="DI299" s="21"/>
      <c r="DJ299" s="21"/>
      <c r="DK299" s="21"/>
      <c r="DL299" s="21"/>
      <c r="DM299" s="21"/>
      <c r="DN299" s="21"/>
      <c r="DO299" s="21"/>
      <c r="DP299" s="21"/>
      <c r="DQ299" s="21"/>
      <c r="DR299" s="21"/>
      <c r="DS299" s="21"/>
      <c r="DT299" s="21"/>
      <c r="DU299" s="21"/>
      <c r="DV299" s="21"/>
      <c r="DW299" s="21"/>
      <c r="DX299" s="21"/>
      <c r="DY299" s="21"/>
      <c r="DZ299" s="21"/>
      <c r="EA299" s="21"/>
      <c r="EB299" s="21"/>
      <c r="EC299" s="21"/>
      <c r="ED299" s="21"/>
      <c r="EE299" s="21"/>
      <c r="EF299" s="21"/>
      <c r="EG299" s="21"/>
      <c r="EH299" s="21"/>
      <c r="EI299" s="21"/>
      <c r="EJ299" s="21"/>
      <c r="EK299" s="21"/>
      <c r="EL299" s="168">
        <v>23728</v>
      </c>
      <c r="EM299" s="168">
        <v>21877</v>
      </c>
      <c r="EN299" s="21"/>
      <c r="EO299" s="21"/>
      <c r="EP299" s="168">
        <v>7608</v>
      </c>
      <c r="EQ299" s="168">
        <v>7704</v>
      </c>
      <c r="ER299" s="21"/>
      <c r="ES299" s="21"/>
      <c r="ET299" s="168">
        <v>31613</v>
      </c>
      <c r="EU299" s="168">
        <v>29906</v>
      </c>
      <c r="EV299" s="21"/>
      <c r="EW299" s="21"/>
      <c r="EX299" s="168">
        <v>21119</v>
      </c>
      <c r="EY299" s="168">
        <v>8474</v>
      </c>
      <c r="EZ299" s="21"/>
      <c r="FA299" s="21"/>
      <c r="FB299" s="21"/>
      <c r="FC299" s="21"/>
      <c r="FD299" s="21"/>
      <c r="FE299" s="21"/>
      <c r="FF299" s="21"/>
      <c r="FG299" s="21"/>
      <c r="FH299" s="21"/>
      <c r="FI299" s="168">
        <v>-75</v>
      </c>
      <c r="FJ299" s="168">
        <v>-7</v>
      </c>
      <c r="FK299" s="21"/>
      <c r="FL299" s="21"/>
      <c r="FM299" s="21"/>
      <c r="FN299" s="21"/>
      <c r="FO299" s="21"/>
      <c r="FP299" s="21"/>
      <c r="FQ299" s="168">
        <v>47</v>
      </c>
      <c r="FR299" s="168">
        <v>67</v>
      </c>
      <c r="FS299" s="21"/>
      <c r="FT299" s="21"/>
      <c r="FU299" s="21"/>
      <c r="FV299" s="21"/>
      <c r="FW299" s="168">
        <v>57</v>
      </c>
      <c r="FX299" s="168">
        <v>416</v>
      </c>
      <c r="FY299" s="168">
        <v>46</v>
      </c>
      <c r="FZ299" s="168">
        <v>56</v>
      </c>
      <c r="GA299" s="21"/>
      <c r="GB299" s="21"/>
      <c r="GC299" s="21"/>
      <c r="GD299" s="21"/>
      <c r="GE299" s="21"/>
      <c r="GF299" s="21"/>
      <c r="GG299" s="21"/>
      <c r="GH299" s="21"/>
      <c r="GI299" s="21"/>
      <c r="GJ299" s="21"/>
      <c r="GK299" s="21"/>
      <c r="GL299" s="21"/>
      <c r="GM299" s="168">
        <v>461</v>
      </c>
      <c r="GN299" s="168">
        <v>966</v>
      </c>
      <c r="GO299" s="168">
        <v>508</v>
      </c>
      <c r="GP299" s="168">
        <v>1033</v>
      </c>
      <c r="GQ299" s="21"/>
      <c r="GR299" s="21"/>
      <c r="GS299" s="168">
        <v>416</v>
      </c>
      <c r="GT299" s="168">
        <v>910</v>
      </c>
      <c r="GU299" s="168">
        <v>88</v>
      </c>
      <c r="GV299" s="168">
        <v>28</v>
      </c>
      <c r="GW299" s="168">
        <v>13</v>
      </c>
      <c r="GX299" s="168">
        <v>21</v>
      </c>
      <c r="GY299" s="21"/>
      <c r="GZ299" s="21"/>
      <c r="HA299" s="21"/>
      <c r="HB299" s="21"/>
      <c r="HC299" s="168">
        <v>4852</v>
      </c>
      <c r="HD299" s="168">
        <v>4502</v>
      </c>
      <c r="HE299" s="168">
        <v>36</v>
      </c>
      <c r="HF299" s="168">
        <v>19</v>
      </c>
      <c r="HG299" s="21"/>
      <c r="HH299" s="21"/>
      <c r="HI299" s="168">
        <v>4</v>
      </c>
      <c r="HJ299" s="168">
        <v>4</v>
      </c>
      <c r="HK299" s="21"/>
      <c r="HL299" s="21"/>
      <c r="HM299" s="21"/>
      <c r="HN299" s="21"/>
      <c r="HO299" s="168">
        <v>1136</v>
      </c>
      <c r="HP299" s="168">
        <v>1060</v>
      </c>
      <c r="HQ299" s="21"/>
      <c r="HR299" s="21"/>
      <c r="HS299" s="21"/>
      <c r="HT299" s="21"/>
      <c r="HU299" s="168">
        <v>1878</v>
      </c>
      <c r="HV299" s="168">
        <v>846</v>
      </c>
      <c r="HW299" s="168">
        <v>105</v>
      </c>
      <c r="HX299" s="168">
        <v>64</v>
      </c>
      <c r="HY299" s="21"/>
      <c r="HZ299" s="21"/>
      <c r="IA299" s="21"/>
      <c r="IB299" s="21"/>
      <c r="IC299" s="21"/>
      <c r="ID299" s="21"/>
      <c r="IE299" s="168">
        <v>609</v>
      </c>
      <c r="IF299" s="168">
        <v>570</v>
      </c>
      <c r="IG299" s="21"/>
      <c r="IH299" s="21"/>
      <c r="II299" s="21"/>
      <c r="IJ299" s="21"/>
      <c r="IK299" s="21"/>
      <c r="IL299" s="21"/>
      <c r="IM299" s="21"/>
      <c r="IN299" s="168">
        <v>8</v>
      </c>
      <c r="IO299" s="21"/>
      <c r="IP299" s="21"/>
      <c r="IQ299" s="21"/>
      <c r="IR299" s="21"/>
      <c r="IS299" s="21"/>
      <c r="IT299" s="21"/>
      <c r="IU299" s="168">
        <v>641</v>
      </c>
      <c r="IV299" s="168">
        <v>1456</v>
      </c>
      <c r="IW299" s="168">
        <v>946</v>
      </c>
      <c r="IX299" s="168">
        <v>1729</v>
      </c>
      <c r="IY299" s="168">
        <v>-306</v>
      </c>
      <c r="IZ299" s="168">
        <v>-273</v>
      </c>
      <c r="JA299" s="168">
        <v>243</v>
      </c>
      <c r="JB299" s="168">
        <v>157</v>
      </c>
      <c r="JC299" s="21"/>
      <c r="JD299" s="21"/>
      <c r="JE299" s="168">
        <v>4604</v>
      </c>
      <c r="JF299" s="168">
        <v>4258</v>
      </c>
      <c r="JG299" s="168">
        <v>222</v>
      </c>
      <c r="JH299" s="168">
        <v>9</v>
      </c>
      <c r="JI299" s="168">
        <v>54758</v>
      </c>
      <c r="JJ299" s="168">
        <v>50342</v>
      </c>
      <c r="JK299" s="168">
        <v>314</v>
      </c>
      <c r="JL299" s="168">
        <v>278</v>
      </c>
      <c r="JM299" s="168">
        <v>55705</v>
      </c>
      <c r="JN299" s="168">
        <v>52071</v>
      </c>
      <c r="JO299" s="168">
        <v>8</v>
      </c>
      <c r="JP299" s="168">
        <v>5</v>
      </c>
      <c r="JQ299" s="21"/>
      <c r="JR299" s="21"/>
      <c r="JS299" s="21"/>
      <c r="JT299" s="21"/>
      <c r="JU299" s="21"/>
      <c r="JV299" s="21"/>
      <c r="JW299" s="168">
        <v>55236</v>
      </c>
      <c r="JX299" s="168">
        <v>51894</v>
      </c>
      <c r="JY299" s="21"/>
      <c r="JZ299" s="21"/>
      <c r="KA299" s="21"/>
      <c r="KB299" s="21"/>
      <c r="KC299" s="21"/>
      <c r="KD299" s="21"/>
      <c r="KE299" s="21"/>
      <c r="KF299" s="21"/>
      <c r="KG299" s="21"/>
      <c r="KH299" s="21"/>
      <c r="KI299" s="21"/>
      <c r="KJ299" s="21"/>
      <c r="KK299" s="21"/>
      <c r="KL299" s="21"/>
      <c r="KM299" s="21"/>
      <c r="KN299" s="21"/>
      <c r="KO299" s="21"/>
      <c r="KP299" s="21"/>
      <c r="KQ299" s="21"/>
      <c r="KR299" s="21"/>
      <c r="KS299" s="21"/>
      <c r="KT299" s="21"/>
      <c r="KU299" s="21"/>
      <c r="KV299" s="21"/>
      <c r="KW299" s="21"/>
      <c r="KX299" s="21"/>
      <c r="KY299" s="21"/>
      <c r="KZ299" s="21"/>
      <c r="LA299" s="168">
        <v>1000</v>
      </c>
      <c r="LB299" s="168">
        <v>1000</v>
      </c>
      <c r="LC299" s="21"/>
      <c r="LD299" s="21"/>
      <c r="LE299" s="21"/>
      <c r="LF299" s="21"/>
      <c r="LG299" s="21"/>
      <c r="LH299" s="21"/>
      <c r="LI299" s="21"/>
      <c r="LJ299" s="21"/>
      <c r="LK299" s="21"/>
      <c r="LL299" s="21"/>
      <c r="LM299" s="21"/>
      <c r="LN299" s="21"/>
      <c r="LO299" s="21"/>
      <c r="LP299" s="21"/>
      <c r="LQ299" s="21"/>
      <c r="LR299" s="21"/>
      <c r="LS299" s="21"/>
      <c r="LT299" s="21"/>
      <c r="LU299" s="21"/>
      <c r="LV299" s="21"/>
      <c r="LW299" s="21"/>
      <c r="LX299" s="21"/>
      <c r="LY299" s="21"/>
      <c r="LZ299" s="21"/>
      <c r="MA299" s="168">
        <v>18258</v>
      </c>
      <c r="MB299" s="168">
        <v>14591</v>
      </c>
      <c r="MC299" s="168">
        <v>1340</v>
      </c>
      <c r="MD299" s="168">
        <v>1199</v>
      </c>
      <c r="ME299" s="21"/>
      <c r="MF299" s="21"/>
      <c r="MG299" s="21"/>
      <c r="MH299" s="21"/>
      <c r="MI299" s="21"/>
      <c r="MJ299" s="21"/>
      <c r="MK299" s="21"/>
      <c r="ML299" s="21"/>
      <c r="MM299" s="21"/>
      <c r="MN299" s="21"/>
      <c r="MO299" s="21"/>
      <c r="MP299" s="21"/>
      <c r="MQ299" s="21"/>
      <c r="MR299" s="21"/>
      <c r="MS299" s="21"/>
      <c r="MT299" s="21"/>
      <c r="MU299" s="21"/>
      <c r="MV299" s="21"/>
      <c r="MW299" s="168">
        <v>100</v>
      </c>
      <c r="MX299" s="168">
        <v>100</v>
      </c>
      <c r="MY299" s="21"/>
      <c r="MZ299" s="21"/>
      <c r="NA299" s="21"/>
      <c r="NB299" s="21"/>
      <c r="NC299" s="21"/>
      <c r="ND299" s="21"/>
      <c r="NE299" s="21"/>
      <c r="NF299" s="21"/>
      <c r="NG299" s="168">
        <v>7071</v>
      </c>
      <c r="NH299" s="168">
        <v>6794</v>
      </c>
      <c r="NI299" s="21"/>
      <c r="NJ299" s="21"/>
      <c r="NK299" s="21"/>
      <c r="NL299" s="21"/>
      <c r="NM299" s="168">
        <v>19598</v>
      </c>
      <c r="NN299" s="168">
        <v>15789</v>
      </c>
      <c r="NO299" s="168">
        <v>31613</v>
      </c>
      <c r="NP299" s="168">
        <v>29906</v>
      </c>
      <c r="NQ299" s="168" t="s">
        <v>1032</v>
      </c>
      <c r="NR299" s="168" t="s">
        <v>797</v>
      </c>
      <c r="NS299" s="168" t="s">
        <v>770</v>
      </c>
      <c r="NT299" s="168" t="s">
        <v>771</v>
      </c>
      <c r="NU299" s="168">
        <v>8501</v>
      </c>
      <c r="NV299" s="168" t="s">
        <v>2104</v>
      </c>
      <c r="NW299" s="168" t="s">
        <v>28</v>
      </c>
      <c r="NX299" s="168" t="s">
        <v>25</v>
      </c>
      <c r="NY299" s="169">
        <v>42766</v>
      </c>
      <c r="NZ299" s="169">
        <v>42400</v>
      </c>
      <c r="OA299" s="169">
        <v>42971</v>
      </c>
      <c r="OB299" s="168" t="s">
        <v>1033</v>
      </c>
      <c r="OC299" s="168">
        <v>12</v>
      </c>
      <c r="OD299" s="168" t="s">
        <v>2105</v>
      </c>
      <c r="OE299" s="168" t="s">
        <v>2237</v>
      </c>
      <c r="OF299" s="168" t="s">
        <v>2238</v>
      </c>
      <c r="OG299" s="168" t="s">
        <v>1855</v>
      </c>
      <c r="OH299" s="168" t="s">
        <v>873</v>
      </c>
      <c r="OI299" s="168" t="s">
        <v>766</v>
      </c>
      <c r="OJ299" s="168" t="s">
        <v>3240</v>
      </c>
      <c r="OK299" s="168" t="s">
        <v>796</v>
      </c>
    </row>
    <row r="300" spans="1:401" x14ac:dyDescent="0.2">
      <c r="A300" s="170" t="str">
        <f>Liste[[#This Row],[Siren]]</f>
        <v>414878496</v>
      </c>
      <c r="B300" s="198" t="str">
        <f>Liste[[#This Row],[Dénomination]]&amp;" - comptes "&amp;YEAR(Liste[[#This Row],[Date de cloture de l''exercice]])</f>
        <v>FIVER - comptes 2017</v>
      </c>
      <c r="C300" s="21"/>
      <c r="D300" s="21"/>
      <c r="E300" s="21"/>
      <c r="F300" s="168">
        <v>1712029</v>
      </c>
      <c r="G300" s="168">
        <v>820185</v>
      </c>
      <c r="H300" s="21"/>
      <c r="I300" s="21"/>
      <c r="J300" s="168">
        <v>1729400</v>
      </c>
      <c r="K300" s="168">
        <v>1342702</v>
      </c>
      <c r="L300" s="21"/>
      <c r="M300" s="21"/>
      <c r="N300" s="168">
        <v>114967</v>
      </c>
      <c r="O300" s="168">
        <v>77467</v>
      </c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168">
        <v>2250387</v>
      </c>
      <c r="AA300" s="168">
        <v>2249636</v>
      </c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168">
        <v>104614</v>
      </c>
      <c r="BA300" s="168">
        <v>213469</v>
      </c>
      <c r="BB300" s="21"/>
      <c r="BC300" s="21"/>
      <c r="BD300" s="168">
        <v>626741</v>
      </c>
      <c r="BE300" s="168">
        <v>492052</v>
      </c>
      <c r="BF300" s="21"/>
      <c r="BG300" s="21"/>
      <c r="BH300" s="168">
        <v>3274</v>
      </c>
      <c r="BI300" s="168">
        <v>1764</v>
      </c>
      <c r="BJ300" s="21"/>
      <c r="BK300" s="21"/>
      <c r="BL300" s="168">
        <v>2886102</v>
      </c>
      <c r="BM300" s="168">
        <v>4783219</v>
      </c>
      <c r="BN300" s="21"/>
      <c r="BO300" s="21"/>
      <c r="BP300" s="168">
        <v>796869</v>
      </c>
      <c r="BQ300" s="168">
        <v>510002</v>
      </c>
      <c r="BR300" s="21"/>
      <c r="BS300" s="21"/>
      <c r="BT300" s="21"/>
      <c r="BU300" s="21"/>
      <c r="BV300" s="21"/>
      <c r="BW300" s="21"/>
      <c r="BX300" s="168">
        <v>3274292</v>
      </c>
      <c r="BY300" s="168">
        <v>2275368</v>
      </c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/>
      <c r="CK300" s="21"/>
      <c r="CL300" s="21"/>
      <c r="CM300" s="21"/>
      <c r="CN300" s="21"/>
      <c r="CO300" s="21"/>
      <c r="CP300" s="21"/>
      <c r="CQ300" s="21"/>
      <c r="CR300" s="21"/>
      <c r="CS300" s="21"/>
      <c r="CT300" s="21"/>
      <c r="CU300" s="21"/>
      <c r="CV300" s="21"/>
      <c r="CW300" s="21"/>
      <c r="CX300" s="21"/>
      <c r="CY300" s="21"/>
      <c r="CZ300" s="21"/>
      <c r="DA300" s="21"/>
      <c r="DB300" s="21"/>
      <c r="DC300" s="21"/>
      <c r="DD300" s="168">
        <v>12151</v>
      </c>
      <c r="DE300" s="21"/>
      <c r="DF300" s="21"/>
      <c r="DG300" s="168">
        <v>195034</v>
      </c>
      <c r="DH300" s="168">
        <v>130911</v>
      </c>
      <c r="DI300" s="21"/>
      <c r="DJ300" s="21"/>
      <c r="DK300" s="21"/>
      <c r="DL300" s="21"/>
      <c r="DM300" s="21"/>
      <c r="DN300" s="21"/>
      <c r="DO300" s="21"/>
      <c r="DP300" s="21"/>
      <c r="DQ300" s="21"/>
      <c r="DR300" s="21"/>
      <c r="DS300" s="21"/>
      <c r="DT300" s="21"/>
      <c r="DU300" s="21"/>
      <c r="DV300" s="21"/>
      <c r="DW300" s="168">
        <v>850</v>
      </c>
      <c r="DX300" s="168">
        <v>4110</v>
      </c>
      <c r="DY300" s="21"/>
      <c r="DZ300" s="21"/>
      <c r="EA300" s="21"/>
      <c r="EB300" s="21"/>
      <c r="EC300" s="21"/>
      <c r="ED300" s="21"/>
      <c r="EE300" s="21"/>
      <c r="EF300" s="21"/>
      <c r="EG300" s="21"/>
      <c r="EH300" s="21"/>
      <c r="EI300" s="21"/>
      <c r="EJ300" s="21"/>
      <c r="EK300" s="21"/>
      <c r="EL300" s="168">
        <v>9127135</v>
      </c>
      <c r="EM300" s="168">
        <v>10937975</v>
      </c>
      <c r="EN300" s="21"/>
      <c r="EO300" s="21"/>
      <c r="EP300" s="21"/>
      <c r="EQ300" s="21"/>
      <c r="ER300" s="21"/>
      <c r="ES300" s="21"/>
      <c r="ET300" s="168">
        <v>18110075</v>
      </c>
      <c r="EU300" s="168">
        <v>18188926</v>
      </c>
      <c r="EV300" s="21"/>
      <c r="EW300" s="21"/>
      <c r="EX300" s="168">
        <v>999435</v>
      </c>
      <c r="EY300" s="168">
        <v>1576356</v>
      </c>
      <c r="EZ300" s="21"/>
      <c r="FA300" s="21"/>
      <c r="FB300" s="21"/>
      <c r="FC300" s="21"/>
      <c r="FD300" s="21"/>
      <c r="FE300" s="21"/>
      <c r="FF300" s="168">
        <v>2363</v>
      </c>
      <c r="FG300" s="168">
        <v>602557</v>
      </c>
      <c r="FH300" s="21"/>
      <c r="FI300" s="168">
        <v>508529</v>
      </c>
      <c r="FJ300" s="168">
        <v>252185</v>
      </c>
      <c r="FK300" s="21"/>
      <c r="FL300" s="21"/>
      <c r="FM300" s="168">
        <v>116329</v>
      </c>
      <c r="FN300" s="168">
        <v>71915</v>
      </c>
      <c r="FO300" s="168">
        <v>2311200</v>
      </c>
      <c r="FP300" s="168">
        <v>129</v>
      </c>
      <c r="FQ300" s="21"/>
      <c r="FR300" s="21"/>
      <c r="FS300" s="168">
        <v>176061</v>
      </c>
      <c r="FT300" s="168">
        <v>86921</v>
      </c>
      <c r="FU300" s="21"/>
      <c r="FV300" s="21"/>
      <c r="FW300" s="168">
        <v>188085</v>
      </c>
      <c r="FX300" s="168">
        <v>354003</v>
      </c>
      <c r="FY300" s="168">
        <v>773086</v>
      </c>
      <c r="FZ300" s="168">
        <v>181778</v>
      </c>
      <c r="GA300" s="21"/>
      <c r="GB300" s="21"/>
      <c r="GC300" s="168">
        <v>569664</v>
      </c>
      <c r="GD300" s="168">
        <v>319827</v>
      </c>
      <c r="GE300" s="168">
        <v>2456200</v>
      </c>
      <c r="GF300" s="21"/>
      <c r="GG300" s="21"/>
      <c r="GH300" s="21"/>
      <c r="GI300" s="21"/>
      <c r="GJ300" s="21"/>
      <c r="GK300" s="168">
        <v>86255</v>
      </c>
      <c r="GL300" s="168">
        <v>91323</v>
      </c>
      <c r="GM300" s="168">
        <v>794190</v>
      </c>
      <c r="GN300" s="168">
        <v>198160</v>
      </c>
      <c r="GO300" s="21"/>
      <c r="GP300" s="21"/>
      <c r="GQ300" s="21"/>
      <c r="GR300" s="21"/>
      <c r="GS300" s="168">
        <v>21104</v>
      </c>
      <c r="GT300" s="168">
        <v>16382</v>
      </c>
      <c r="GU300" s="168">
        <v>2603590</v>
      </c>
      <c r="GV300" s="168">
        <v>158965</v>
      </c>
      <c r="GW300" s="168">
        <v>3112119</v>
      </c>
      <c r="GX300" s="168">
        <v>411150</v>
      </c>
      <c r="GY300" s="168">
        <v>61370197</v>
      </c>
      <c r="GZ300" s="168">
        <v>55620386</v>
      </c>
      <c r="HA300" s="21"/>
      <c r="HB300" s="21"/>
      <c r="HC300" s="168">
        <v>4213439</v>
      </c>
      <c r="HD300" s="168">
        <v>3835575</v>
      </c>
      <c r="HE300" s="168">
        <v>48037</v>
      </c>
      <c r="HF300" s="168">
        <v>32821</v>
      </c>
      <c r="HG300" s="168">
        <v>41006</v>
      </c>
      <c r="HH300" s="168">
        <v>25380</v>
      </c>
      <c r="HI300" s="168">
        <v>103317</v>
      </c>
      <c r="HJ300" s="168">
        <v>32473</v>
      </c>
      <c r="HK300" s="21"/>
      <c r="HL300" s="21"/>
      <c r="HM300" s="21"/>
      <c r="HN300" s="21"/>
      <c r="HO300" s="168">
        <v>1352613</v>
      </c>
      <c r="HP300" s="168">
        <v>1178483</v>
      </c>
      <c r="HQ300" s="21"/>
      <c r="HR300" s="21"/>
      <c r="HS300" s="21"/>
      <c r="HT300" s="21"/>
      <c r="HU300" s="168">
        <v>808161</v>
      </c>
      <c r="HV300" s="168">
        <v>737217</v>
      </c>
      <c r="HW300" s="21"/>
      <c r="HX300" s="21"/>
      <c r="HY300" s="168">
        <v>64415</v>
      </c>
      <c r="HZ300" s="168">
        <v>2420</v>
      </c>
      <c r="IA300" s="168">
        <v>2078</v>
      </c>
      <c r="IB300" s="168">
        <v>6617</v>
      </c>
      <c r="IC300" s="21"/>
      <c r="ID300" s="21"/>
      <c r="IE300" s="168">
        <v>936962</v>
      </c>
      <c r="IF300" s="168">
        <v>980274</v>
      </c>
      <c r="IG300" s="21"/>
      <c r="IH300" s="21"/>
      <c r="II300" s="21"/>
      <c r="IJ300" s="21"/>
      <c r="IK300" s="21"/>
      <c r="IL300" s="21"/>
      <c r="IM300" s="21"/>
      <c r="IN300" s="21"/>
      <c r="IO300" s="21"/>
      <c r="IP300" s="21"/>
      <c r="IQ300" s="21"/>
      <c r="IR300" s="168">
        <v>1</v>
      </c>
      <c r="IS300" s="21"/>
      <c r="IT300" s="168">
        <v>488</v>
      </c>
      <c r="IU300" s="168">
        <v>555748</v>
      </c>
      <c r="IV300" s="168">
        <v>386173</v>
      </c>
      <c r="IW300" s="168">
        <v>587523</v>
      </c>
      <c r="IX300" s="168">
        <v>434737</v>
      </c>
      <c r="IY300" s="168">
        <v>-31775</v>
      </c>
      <c r="IZ300" s="168">
        <v>-48564</v>
      </c>
      <c r="JA300" s="168">
        <v>87758</v>
      </c>
      <c r="JB300" s="168">
        <v>135766</v>
      </c>
      <c r="JC300" s="21"/>
      <c r="JD300" s="21"/>
      <c r="JE300" s="168">
        <v>5337497</v>
      </c>
      <c r="JF300" s="168">
        <v>4762139</v>
      </c>
      <c r="JG300" s="21"/>
      <c r="JH300" s="21"/>
      <c r="JI300" s="168">
        <v>73634215</v>
      </c>
      <c r="JJ300" s="168">
        <v>66892777</v>
      </c>
      <c r="JK300" s="168">
        <v>69036</v>
      </c>
      <c r="JL300" s="168">
        <v>74435</v>
      </c>
      <c r="JM300" s="168">
        <v>191075</v>
      </c>
      <c r="JN300" s="168">
        <v>168239</v>
      </c>
      <c r="JO300" s="168">
        <v>69036</v>
      </c>
      <c r="JP300" s="168">
        <v>74435</v>
      </c>
      <c r="JQ300" s="168">
        <v>-499184</v>
      </c>
      <c r="JR300" s="168">
        <v>-263155</v>
      </c>
      <c r="JS300" s="21"/>
      <c r="JT300" s="21"/>
      <c r="JU300" s="21"/>
      <c r="JV300" s="21"/>
      <c r="JW300" s="168">
        <v>74030663</v>
      </c>
      <c r="JX300" s="168">
        <v>67159275</v>
      </c>
      <c r="JY300" s="21"/>
      <c r="JZ300" s="21"/>
      <c r="KA300" s="168">
        <v>30676</v>
      </c>
      <c r="KB300" s="168">
        <v>23087</v>
      </c>
      <c r="KC300" s="21"/>
      <c r="KD300" s="21"/>
      <c r="KE300" s="168">
        <v>273621</v>
      </c>
      <c r="KF300" s="168">
        <v>382925</v>
      </c>
      <c r="KG300" s="21"/>
      <c r="KH300" s="21"/>
      <c r="KI300" s="168">
        <v>73726366</v>
      </c>
      <c r="KJ300" s="168">
        <v>66753263</v>
      </c>
      <c r="KK300" s="168">
        <v>8739337</v>
      </c>
      <c r="KL300" s="168">
        <v>9486307</v>
      </c>
      <c r="KM300" s="21"/>
      <c r="KN300" s="21"/>
      <c r="KO300" s="21"/>
      <c r="KP300" s="21"/>
      <c r="KQ300" s="168">
        <v>317402</v>
      </c>
      <c r="KR300" s="168">
        <v>51606</v>
      </c>
      <c r="KS300" s="21"/>
      <c r="KT300" s="21"/>
      <c r="KU300" s="168">
        <v>4263597</v>
      </c>
      <c r="KV300" s="168">
        <v>3722567</v>
      </c>
      <c r="KW300" s="21"/>
      <c r="KX300" s="21"/>
      <c r="KY300" s="21"/>
      <c r="KZ300" s="21"/>
      <c r="LA300" s="168">
        <v>3815000</v>
      </c>
      <c r="LB300" s="168">
        <v>3815000</v>
      </c>
      <c r="LC300" s="21"/>
      <c r="LD300" s="21"/>
      <c r="LE300" s="21"/>
      <c r="LF300" s="21"/>
      <c r="LG300" s="21"/>
      <c r="LH300" s="21"/>
      <c r="LI300" s="168">
        <v>1423319</v>
      </c>
      <c r="LJ300" s="168">
        <v>2184051</v>
      </c>
      <c r="LK300" s="168">
        <v>3999545</v>
      </c>
      <c r="LL300" s="168">
        <v>3648677</v>
      </c>
      <c r="LM300" s="168">
        <v>21410</v>
      </c>
      <c r="LN300" s="168">
        <v>27410</v>
      </c>
      <c r="LO300" s="21"/>
      <c r="LP300" s="21"/>
      <c r="LQ300" s="21"/>
      <c r="LR300" s="21"/>
      <c r="LS300" s="21"/>
      <c r="LT300" s="21"/>
      <c r="LU300" s="21"/>
      <c r="LV300" s="21"/>
      <c r="LW300" s="21"/>
      <c r="LX300" s="21"/>
      <c r="LY300" s="21"/>
      <c r="LZ300" s="21"/>
      <c r="MA300" s="168">
        <v>2417389</v>
      </c>
      <c r="MB300" s="168">
        <v>3186846</v>
      </c>
      <c r="MC300" s="168">
        <v>555587</v>
      </c>
      <c r="MD300" s="168">
        <v>167687</v>
      </c>
      <c r="ME300" s="21"/>
      <c r="MF300" s="21"/>
      <c r="MG300" s="21"/>
      <c r="MH300" s="21"/>
      <c r="MI300" s="21"/>
      <c r="MJ300" s="21"/>
      <c r="MK300" s="21"/>
      <c r="ML300" s="21"/>
      <c r="MM300" s="168">
        <v>4685</v>
      </c>
      <c r="MN300" s="168">
        <v>220030</v>
      </c>
      <c r="MO300" s="168">
        <v>392232</v>
      </c>
      <c r="MP300" s="168">
        <v>351098</v>
      </c>
      <c r="MQ300" s="168">
        <v>43746</v>
      </c>
      <c r="MR300" s="168">
        <v>4000</v>
      </c>
      <c r="MS300" s="21"/>
      <c r="MT300" s="21"/>
      <c r="MU300" s="21"/>
      <c r="MV300" s="21"/>
      <c r="MW300" s="168">
        <v>381500</v>
      </c>
      <c r="MX300" s="168">
        <v>381500</v>
      </c>
      <c r="MY300" s="21"/>
      <c r="MZ300" s="21"/>
      <c r="NA300" s="21"/>
      <c r="NB300" s="21"/>
      <c r="NC300" s="168">
        <v>773086</v>
      </c>
      <c r="ND300" s="168">
        <v>181778</v>
      </c>
      <c r="NE300" s="21"/>
      <c r="NF300" s="21"/>
      <c r="NG300" s="168">
        <v>8875280</v>
      </c>
      <c r="NH300" s="168">
        <v>8292392</v>
      </c>
      <c r="NI300" s="21"/>
      <c r="NJ300" s="21"/>
      <c r="NK300" s="21"/>
      <c r="NL300" s="21"/>
      <c r="NM300" s="21"/>
      <c r="NN300" s="21"/>
      <c r="NO300" s="168">
        <v>18110075</v>
      </c>
      <c r="NP300" s="168">
        <v>18188926</v>
      </c>
      <c r="NQ300" s="168" t="s">
        <v>1034</v>
      </c>
      <c r="NR300" s="168" t="s">
        <v>769</v>
      </c>
      <c r="NS300" s="168" t="s">
        <v>770</v>
      </c>
      <c r="NT300" s="168" t="s">
        <v>771</v>
      </c>
      <c r="NU300" s="168">
        <v>6901</v>
      </c>
      <c r="NV300" s="168" t="s">
        <v>2104</v>
      </c>
      <c r="NW300" s="168" t="s">
        <v>28</v>
      </c>
      <c r="NX300" s="168" t="s">
        <v>25</v>
      </c>
      <c r="NY300" s="169">
        <v>42766</v>
      </c>
      <c r="NZ300" s="169">
        <v>42400</v>
      </c>
      <c r="OA300" s="169">
        <v>42950</v>
      </c>
      <c r="OB300" s="168" t="s">
        <v>1035</v>
      </c>
      <c r="OC300" s="168">
        <v>12</v>
      </c>
      <c r="OD300" s="168" t="s">
        <v>2105</v>
      </c>
      <c r="OE300" s="168" t="s">
        <v>1036</v>
      </c>
      <c r="OF300" s="168" t="s">
        <v>2240</v>
      </c>
      <c r="OG300" s="168" t="s">
        <v>1856</v>
      </c>
      <c r="OH300" s="168" t="s">
        <v>819</v>
      </c>
      <c r="OI300" s="168" t="s">
        <v>766</v>
      </c>
      <c r="OJ300" s="168" t="s">
        <v>3240</v>
      </c>
      <c r="OK300" s="168" t="s">
        <v>767</v>
      </c>
    </row>
    <row r="301" spans="1:401" x14ac:dyDescent="0.2">
      <c r="A301" s="170" t="str">
        <f>Liste[[#This Row],[Siren]]</f>
        <v>399945914</v>
      </c>
      <c r="B301" s="198" t="str">
        <f>Liste[[#This Row],[Dénomination]]&amp;" - comptes "&amp;YEAR(Liste[[#This Row],[Date de cloture de l''exercice]])</f>
        <v>GORRONDIS - comptes 2017</v>
      </c>
      <c r="C301" s="21"/>
      <c r="D301" s="21"/>
      <c r="E301" s="21"/>
      <c r="F301" s="168">
        <v>963000</v>
      </c>
      <c r="G301" s="168">
        <v>930000</v>
      </c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168">
        <v>58000</v>
      </c>
      <c r="BA301" s="168">
        <v>58000</v>
      </c>
      <c r="BB301" s="21"/>
      <c r="BC301" s="21"/>
      <c r="BD301" s="168">
        <v>704000</v>
      </c>
      <c r="BE301" s="168">
        <v>499000</v>
      </c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168">
        <v>3404000</v>
      </c>
      <c r="BY301" s="168">
        <v>3141000</v>
      </c>
      <c r="BZ301" s="21"/>
      <c r="CA301" s="21"/>
      <c r="CB301" s="21"/>
      <c r="CC301" s="21"/>
      <c r="CD301" s="21"/>
      <c r="CE301" s="168">
        <v>6257000</v>
      </c>
      <c r="CF301" s="168">
        <v>7099000</v>
      </c>
      <c r="CG301" s="21"/>
      <c r="CH301" s="21"/>
      <c r="CI301" s="21"/>
      <c r="CJ301" s="21"/>
      <c r="CK301" s="21"/>
      <c r="CL301" s="21"/>
      <c r="CM301" s="21"/>
      <c r="CN301" s="21"/>
      <c r="CO301" s="21"/>
      <c r="CP301" s="21"/>
      <c r="CQ301" s="21"/>
      <c r="CR301" s="21"/>
      <c r="CS301" s="21"/>
      <c r="CT301" s="21"/>
      <c r="CU301" s="21"/>
      <c r="CV301" s="21"/>
      <c r="CW301" s="21"/>
      <c r="CX301" s="21"/>
      <c r="CY301" s="21"/>
      <c r="CZ301" s="21"/>
      <c r="DA301" s="21"/>
      <c r="DB301" s="21"/>
      <c r="DC301" s="21"/>
      <c r="DD301" s="21"/>
      <c r="DE301" s="21"/>
      <c r="DF301" s="21"/>
      <c r="DG301" s="21"/>
      <c r="DH301" s="21"/>
      <c r="DI301" s="21"/>
      <c r="DJ301" s="21"/>
      <c r="DK301" s="21"/>
      <c r="DL301" s="21"/>
      <c r="DM301" s="21"/>
      <c r="DN301" s="21"/>
      <c r="DO301" s="21"/>
      <c r="DP301" s="21"/>
      <c r="DQ301" s="21"/>
      <c r="DR301" s="21"/>
      <c r="DS301" s="21"/>
      <c r="DT301" s="21"/>
      <c r="DU301" s="21"/>
      <c r="DV301" s="21"/>
      <c r="DW301" s="21"/>
      <c r="DX301" s="21"/>
      <c r="DY301" s="21"/>
      <c r="DZ301" s="21"/>
      <c r="EA301" s="21"/>
      <c r="EB301" s="21"/>
      <c r="EC301" s="21"/>
      <c r="ED301" s="21"/>
      <c r="EE301" s="21"/>
      <c r="EF301" s="21"/>
      <c r="EG301" s="21"/>
      <c r="EH301" s="21"/>
      <c r="EI301" s="21"/>
      <c r="EJ301" s="21"/>
      <c r="EK301" s="21"/>
      <c r="EL301" s="168">
        <v>27141000</v>
      </c>
      <c r="EM301" s="168">
        <v>27777000</v>
      </c>
      <c r="EN301" s="21"/>
      <c r="EO301" s="21"/>
      <c r="EP301" s="168">
        <v>9663000</v>
      </c>
      <c r="EQ301" s="168">
        <v>8469000</v>
      </c>
      <c r="ER301" s="21"/>
      <c r="ES301" s="21"/>
      <c r="ET301" s="168">
        <v>36804000</v>
      </c>
      <c r="EU301" s="168">
        <v>-36246000</v>
      </c>
      <c r="EV301" s="21"/>
      <c r="EW301" s="21"/>
      <c r="EX301" s="21"/>
      <c r="EY301" s="21"/>
      <c r="EZ301" s="21"/>
      <c r="FA301" s="21"/>
      <c r="FB301" s="21"/>
      <c r="FC301" s="21"/>
      <c r="FD301" s="21"/>
      <c r="FE301" s="21"/>
      <c r="FF301" s="21"/>
      <c r="FG301" s="21"/>
      <c r="FH301" s="21"/>
      <c r="FI301" s="168">
        <v>-68000</v>
      </c>
      <c r="FJ301" s="168">
        <v>22000</v>
      </c>
      <c r="FK301" s="21"/>
      <c r="FL301" s="21"/>
      <c r="FM301" s="21"/>
      <c r="FN301" s="21"/>
      <c r="FO301" s="21"/>
      <c r="FP301" s="21"/>
      <c r="FQ301" s="168">
        <v>-813000</v>
      </c>
      <c r="FR301" s="168">
        <v>-839000</v>
      </c>
      <c r="FS301" s="21"/>
      <c r="FT301" s="21"/>
      <c r="FU301" s="21"/>
      <c r="FV301" s="21"/>
      <c r="FW301" s="168">
        <v>-513000</v>
      </c>
      <c r="FX301" s="168">
        <v>-317000</v>
      </c>
      <c r="FY301" s="21"/>
      <c r="FZ301" s="21"/>
      <c r="GA301" s="21"/>
      <c r="GB301" s="21"/>
      <c r="GC301" s="21"/>
      <c r="GD301" s="21"/>
      <c r="GE301" s="21"/>
      <c r="GF301" s="21"/>
      <c r="GG301" s="21"/>
      <c r="GH301" s="21"/>
      <c r="GI301" s="21"/>
      <c r="GJ301" s="21"/>
      <c r="GK301" s="21"/>
      <c r="GL301" s="21"/>
      <c r="GM301" s="168">
        <v>1276000</v>
      </c>
      <c r="GN301" s="168">
        <v>718000</v>
      </c>
      <c r="GO301" s="168">
        <v>2089000</v>
      </c>
      <c r="GP301" s="168">
        <v>1558000</v>
      </c>
      <c r="GQ301" s="21"/>
      <c r="GR301" s="21"/>
      <c r="GS301" s="168">
        <v>1276000</v>
      </c>
      <c r="GT301" s="168">
        <v>718000</v>
      </c>
      <c r="GU301" s="168">
        <v>91000</v>
      </c>
      <c r="GV301" s="168">
        <v>-65000</v>
      </c>
      <c r="GW301" s="168">
        <v>23000</v>
      </c>
      <c r="GX301" s="168">
        <v>87000</v>
      </c>
      <c r="GY301" s="21"/>
      <c r="GZ301" s="21"/>
      <c r="HA301" s="21"/>
      <c r="HB301" s="21"/>
      <c r="HC301" s="21"/>
      <c r="HD301" s="21"/>
      <c r="HE301" s="168">
        <v>-31000</v>
      </c>
      <c r="HF301" s="168">
        <v>-49000</v>
      </c>
      <c r="HG301" s="21"/>
      <c r="HH301" s="21"/>
      <c r="HI301" s="168">
        <v>88000</v>
      </c>
      <c r="HJ301" s="168">
        <v>40000</v>
      </c>
      <c r="HK301" s="21"/>
      <c r="HL301" s="21"/>
      <c r="HM301" s="21"/>
      <c r="HN301" s="21"/>
      <c r="HO301" s="21"/>
      <c r="HP301" s="21"/>
      <c r="HQ301" s="21"/>
      <c r="HR301" s="21"/>
      <c r="HS301" s="21"/>
      <c r="HT301" s="21"/>
      <c r="HU301" s="168">
        <v>-1574000</v>
      </c>
      <c r="HV301" s="168">
        <v>-1585000</v>
      </c>
      <c r="HW301" s="21"/>
      <c r="HX301" s="21"/>
      <c r="HY301" s="21"/>
      <c r="HZ301" s="21"/>
      <c r="IA301" s="21"/>
      <c r="IB301" s="21"/>
      <c r="IC301" s="21"/>
      <c r="ID301" s="21"/>
      <c r="IE301" s="168">
        <v>-1007000</v>
      </c>
      <c r="IF301" s="168">
        <v>-935000</v>
      </c>
      <c r="IG301" s="21"/>
      <c r="IH301" s="21"/>
      <c r="II301" s="21"/>
      <c r="IJ301" s="21"/>
      <c r="IK301" s="21"/>
      <c r="IL301" s="21"/>
      <c r="IM301" s="168">
        <v>382000</v>
      </c>
      <c r="IN301" s="21"/>
      <c r="IO301" s="21"/>
      <c r="IP301" s="21"/>
      <c r="IQ301" s="21"/>
      <c r="IR301" s="21"/>
      <c r="IS301" s="21"/>
      <c r="IT301" s="21"/>
      <c r="IU301" s="168">
        <v>2671000</v>
      </c>
      <c r="IV301" s="168">
        <v>1852000</v>
      </c>
      <c r="IW301" s="168">
        <v>2903000</v>
      </c>
      <c r="IX301" s="168">
        <v>2147000</v>
      </c>
      <c r="IY301" s="168">
        <v>-231000</v>
      </c>
      <c r="IZ301" s="168">
        <v>-294000</v>
      </c>
      <c r="JA301" s="168">
        <v>118000</v>
      </c>
      <c r="JB301" s="168">
        <v>116000</v>
      </c>
      <c r="JC301" s="21"/>
      <c r="JD301" s="21"/>
      <c r="JE301" s="168">
        <v>-7866000</v>
      </c>
      <c r="JF301" s="168">
        <v>-7503000</v>
      </c>
      <c r="JG301" s="168">
        <v>14000</v>
      </c>
      <c r="JH301" s="21"/>
      <c r="JI301" s="21"/>
      <c r="JJ301" s="21"/>
      <c r="JK301" s="168">
        <v>233000</v>
      </c>
      <c r="JL301" s="168">
        <v>-299000</v>
      </c>
      <c r="JM301" s="21"/>
      <c r="JN301" s="21"/>
      <c r="JO301" s="168">
        <v>1000</v>
      </c>
      <c r="JP301" s="168">
        <v>5000</v>
      </c>
      <c r="JQ301" s="21"/>
      <c r="JR301" s="21"/>
      <c r="JS301" s="21"/>
      <c r="JT301" s="21"/>
      <c r="JU301" s="21"/>
      <c r="JV301" s="21"/>
      <c r="JW301" s="168">
        <v>88325000</v>
      </c>
      <c r="JX301" s="168">
        <v>85926000</v>
      </c>
      <c r="JY301" s="21"/>
      <c r="JZ301" s="21"/>
      <c r="KA301" s="21"/>
      <c r="KB301" s="21"/>
      <c r="KC301" s="21"/>
      <c r="KD301" s="21"/>
      <c r="KE301" s="21"/>
      <c r="KF301" s="21"/>
      <c r="KG301" s="21"/>
      <c r="KH301" s="21"/>
      <c r="KI301" s="21"/>
      <c r="KJ301" s="21"/>
      <c r="KK301" s="21"/>
      <c r="KL301" s="21"/>
      <c r="KM301" s="21"/>
      <c r="KN301" s="21"/>
      <c r="KO301" s="21"/>
      <c r="KP301" s="21"/>
      <c r="KQ301" s="168">
        <v>5000</v>
      </c>
      <c r="KR301" s="168">
        <v>71000</v>
      </c>
      <c r="KS301" s="21"/>
      <c r="KT301" s="21"/>
      <c r="KU301" s="21"/>
      <c r="KV301" s="21"/>
      <c r="KW301" s="21"/>
      <c r="KX301" s="21"/>
      <c r="KY301" s="21"/>
      <c r="KZ301" s="21"/>
      <c r="LA301" s="168">
        <v>44000</v>
      </c>
      <c r="LB301" s="168">
        <v>40000</v>
      </c>
      <c r="LC301" s="21"/>
      <c r="LD301" s="21"/>
      <c r="LE301" s="21"/>
      <c r="LF301" s="21"/>
      <c r="LG301" s="21"/>
      <c r="LH301" s="21"/>
      <c r="LI301" s="168">
        <v>2486000</v>
      </c>
      <c r="LJ301" s="168">
        <v>2412000</v>
      </c>
      <c r="LK301" s="21"/>
      <c r="LL301" s="21"/>
      <c r="LM301" s="21"/>
      <c r="LN301" s="21"/>
      <c r="LO301" s="21"/>
      <c r="LP301" s="21"/>
      <c r="LQ301" s="21"/>
      <c r="LR301" s="21"/>
      <c r="LS301" s="21"/>
      <c r="LT301" s="21"/>
      <c r="LU301" s="21"/>
      <c r="LV301" s="21"/>
      <c r="LW301" s="21"/>
      <c r="LX301" s="21"/>
      <c r="LY301" s="21"/>
      <c r="LZ301" s="21"/>
      <c r="MA301" s="21"/>
      <c r="MB301" s="21"/>
      <c r="MC301" s="168">
        <v>15646000</v>
      </c>
      <c r="MD301" s="168">
        <v>18260000</v>
      </c>
      <c r="ME301" s="21"/>
      <c r="MF301" s="21"/>
      <c r="MG301" s="21"/>
      <c r="MH301" s="21"/>
      <c r="MI301" s="168">
        <v>2593000</v>
      </c>
      <c r="MJ301" s="168">
        <v>703000</v>
      </c>
      <c r="MK301" s="21"/>
      <c r="ML301" s="21"/>
      <c r="MM301" s="168">
        <v>4000</v>
      </c>
      <c r="MN301" s="21"/>
      <c r="MO301" s="21"/>
      <c r="MP301" s="21"/>
      <c r="MQ301" s="21"/>
      <c r="MR301" s="21"/>
      <c r="MS301" s="21"/>
      <c r="MT301" s="21"/>
      <c r="MU301" s="21"/>
      <c r="MV301" s="21"/>
      <c r="MW301" s="21"/>
      <c r="MX301" s="21"/>
      <c r="MY301" s="21"/>
      <c r="MZ301" s="21"/>
      <c r="NA301" s="21"/>
      <c r="NB301" s="21"/>
      <c r="NC301" s="168">
        <v>1276000</v>
      </c>
      <c r="ND301" s="168">
        <v>718000</v>
      </c>
      <c r="NE301" s="21"/>
      <c r="NF301" s="21"/>
      <c r="NG301" s="168">
        <v>11715000</v>
      </c>
      <c r="NH301" s="168">
        <v>8696000</v>
      </c>
      <c r="NI301" s="21"/>
      <c r="NJ301" s="21"/>
      <c r="NK301" s="21"/>
      <c r="NL301" s="21"/>
      <c r="NM301" s="168">
        <v>24129000</v>
      </c>
      <c r="NN301" s="168">
        <v>26522000</v>
      </c>
      <c r="NO301" s="168">
        <v>36804000</v>
      </c>
      <c r="NP301" s="168">
        <v>-36246000</v>
      </c>
      <c r="NQ301" s="168" t="s">
        <v>1304</v>
      </c>
      <c r="NR301" s="168" t="s">
        <v>797</v>
      </c>
      <c r="NS301" s="168" t="s">
        <v>770</v>
      </c>
      <c r="NT301" s="168" t="s">
        <v>771</v>
      </c>
      <c r="NU301" s="168">
        <v>3501</v>
      </c>
      <c r="NV301" s="168" t="s">
        <v>2104</v>
      </c>
      <c r="NW301" s="168" t="s">
        <v>28</v>
      </c>
      <c r="NX301" s="168" t="s">
        <v>25</v>
      </c>
      <c r="NY301" s="169">
        <v>42766</v>
      </c>
      <c r="NZ301" s="169">
        <v>42400</v>
      </c>
      <c r="OA301" s="169">
        <v>43007</v>
      </c>
      <c r="OB301" s="168" t="s">
        <v>1305</v>
      </c>
      <c r="OC301" s="168">
        <v>12</v>
      </c>
      <c r="OD301" s="168" t="s">
        <v>2105</v>
      </c>
      <c r="OE301" s="168" t="s">
        <v>2449</v>
      </c>
      <c r="OF301" s="168" t="s">
        <v>2450</v>
      </c>
      <c r="OG301" s="168" t="s">
        <v>1963</v>
      </c>
      <c r="OH301" s="168" t="s">
        <v>834</v>
      </c>
      <c r="OI301" s="168" t="s">
        <v>766</v>
      </c>
      <c r="OJ301" s="168" t="s">
        <v>3240</v>
      </c>
      <c r="OK301" s="168" t="s">
        <v>796</v>
      </c>
    </row>
    <row r="302" spans="1:401" x14ac:dyDescent="0.2">
      <c r="A302" s="170" t="str">
        <f>Liste[[#This Row],[Siren]]</f>
        <v>352711147</v>
      </c>
      <c r="B302" s="198" t="str">
        <f>Liste[[#This Row],[Dénomination]]&amp;" - comptes "&amp;YEAR(Liste[[#This Row],[Date de cloture de l''exercice]])</f>
        <v>CHAMDIS - comptes 2017</v>
      </c>
      <c r="C302" s="21"/>
      <c r="D302" s="21"/>
      <c r="E302" s="21"/>
      <c r="F302" s="168">
        <v>2251477</v>
      </c>
      <c r="G302" s="168">
        <v>1659651</v>
      </c>
      <c r="H302" s="21"/>
      <c r="I302" s="21"/>
      <c r="J302" s="168">
        <v>35187442</v>
      </c>
      <c r="K302" s="168">
        <v>35708316</v>
      </c>
      <c r="L302" s="21"/>
      <c r="M302" s="21"/>
      <c r="N302" s="168">
        <v>7296436</v>
      </c>
      <c r="O302" s="168">
        <v>7301028</v>
      </c>
      <c r="P302" s="21"/>
      <c r="Q302" s="21"/>
      <c r="R302" s="168">
        <v>6593586</v>
      </c>
      <c r="S302" s="168">
        <v>7586220</v>
      </c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168">
        <v>2645656</v>
      </c>
      <c r="BE302" s="168">
        <v>2603905</v>
      </c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168">
        <v>5353409</v>
      </c>
      <c r="BY302" s="168">
        <v>5424417</v>
      </c>
      <c r="BZ302" s="21"/>
      <c r="CA302" s="21"/>
      <c r="CB302" s="21"/>
      <c r="CC302" s="21"/>
      <c r="CD302" s="21"/>
      <c r="CE302" s="168">
        <v>980522</v>
      </c>
      <c r="CF302" s="21"/>
      <c r="CG302" s="21"/>
      <c r="CH302" s="21"/>
      <c r="CI302" s="21"/>
      <c r="CJ302" s="21"/>
      <c r="CK302" s="21"/>
      <c r="CL302" s="21"/>
      <c r="CM302" s="21"/>
      <c r="CN302" s="21"/>
      <c r="CO302" s="21"/>
      <c r="CP302" s="21"/>
      <c r="CQ302" s="21"/>
      <c r="CR302" s="21"/>
      <c r="CS302" s="21"/>
      <c r="CT302" s="21"/>
      <c r="CU302" s="21"/>
      <c r="CV302" s="21"/>
      <c r="CW302" s="21"/>
      <c r="CX302" s="21"/>
      <c r="CY302" s="21"/>
      <c r="CZ302" s="21"/>
      <c r="DA302" s="21"/>
      <c r="DB302" s="21"/>
      <c r="DC302" s="21"/>
      <c r="DD302" s="21"/>
      <c r="DE302" s="21"/>
      <c r="DF302" s="21"/>
      <c r="DG302" s="21"/>
      <c r="DH302" s="21"/>
      <c r="DI302" s="21"/>
      <c r="DJ302" s="21"/>
      <c r="DK302" s="21"/>
      <c r="DL302" s="21"/>
      <c r="DM302" s="21"/>
      <c r="DN302" s="21"/>
      <c r="DO302" s="21"/>
      <c r="DP302" s="21"/>
      <c r="DQ302" s="21"/>
      <c r="DR302" s="21"/>
      <c r="DS302" s="21"/>
      <c r="DT302" s="21"/>
      <c r="DU302" s="21"/>
      <c r="DV302" s="21"/>
      <c r="DW302" s="21"/>
      <c r="DX302" s="21"/>
      <c r="DY302" s="21"/>
      <c r="DZ302" s="21"/>
      <c r="EA302" s="21"/>
      <c r="EB302" s="21"/>
      <c r="EC302" s="21"/>
      <c r="ED302" s="21"/>
      <c r="EE302" s="21"/>
      <c r="EF302" s="21"/>
      <c r="EG302" s="21"/>
      <c r="EH302" s="21"/>
      <c r="EI302" s="21"/>
      <c r="EJ302" s="21"/>
      <c r="EK302" s="21"/>
      <c r="EL302" s="168">
        <v>49077464</v>
      </c>
      <c r="EM302" s="168">
        <v>50595564</v>
      </c>
      <c r="EN302" s="21"/>
      <c r="EO302" s="21"/>
      <c r="EP302" s="168">
        <v>32667319</v>
      </c>
      <c r="EQ302" s="168">
        <v>28177852</v>
      </c>
      <c r="ER302" s="21"/>
      <c r="ES302" s="21"/>
      <c r="ET302" s="168">
        <v>83593560</v>
      </c>
      <c r="EU302" s="168">
        <v>79325950</v>
      </c>
      <c r="EV302" s="21"/>
      <c r="EW302" s="21"/>
      <c r="EX302" s="21"/>
      <c r="EY302" s="21"/>
      <c r="EZ302" s="21"/>
      <c r="FA302" s="21"/>
      <c r="FB302" s="21"/>
      <c r="FC302" s="21"/>
      <c r="FD302" s="21"/>
      <c r="FE302" s="21"/>
      <c r="FF302" s="168">
        <v>11021726</v>
      </c>
      <c r="FG302" s="168">
        <v>8258175</v>
      </c>
      <c r="FH302" s="21"/>
      <c r="FI302" s="168">
        <v>387655</v>
      </c>
      <c r="FJ302" s="168">
        <v>-130061</v>
      </c>
      <c r="FK302" s="21"/>
      <c r="FL302" s="21"/>
      <c r="FM302" s="21"/>
      <c r="FN302" s="21"/>
      <c r="FO302" s="21"/>
      <c r="FP302" s="21"/>
      <c r="FQ302" s="21"/>
      <c r="FR302" s="21"/>
      <c r="FS302" s="21"/>
      <c r="FT302" s="21"/>
      <c r="FU302" s="21"/>
      <c r="FV302" s="21"/>
      <c r="FW302" s="21"/>
      <c r="FX302" s="21"/>
      <c r="FY302" s="21"/>
      <c r="FZ302" s="21"/>
      <c r="GA302" s="21"/>
      <c r="GB302" s="21"/>
      <c r="GC302" s="21"/>
      <c r="GD302" s="21"/>
      <c r="GE302" s="21"/>
      <c r="GF302" s="21"/>
      <c r="GG302" s="21"/>
      <c r="GH302" s="21"/>
      <c r="GI302" s="21"/>
      <c r="GJ302" s="21"/>
      <c r="GK302" s="21"/>
      <c r="GL302" s="21"/>
      <c r="GM302" s="168">
        <v>3803530</v>
      </c>
      <c r="GN302" s="168">
        <v>3687133</v>
      </c>
      <c r="GO302" s="168">
        <v>3803531</v>
      </c>
      <c r="GP302" s="168">
        <v>3687133</v>
      </c>
      <c r="GQ302" s="21"/>
      <c r="GR302" s="21"/>
      <c r="GS302" s="21"/>
      <c r="GT302" s="21"/>
      <c r="GU302" s="168">
        <v>1599421</v>
      </c>
      <c r="GV302" s="168">
        <v>1186445</v>
      </c>
      <c r="GW302" s="168">
        <v>1987076</v>
      </c>
      <c r="GX302" s="168">
        <v>1056384</v>
      </c>
      <c r="GY302" s="21"/>
      <c r="GZ302" s="21"/>
      <c r="HA302" s="21"/>
      <c r="HB302" s="21"/>
      <c r="HC302" s="168">
        <v>7910554</v>
      </c>
      <c r="HD302" s="168">
        <v>8977038</v>
      </c>
      <c r="HE302" s="21"/>
      <c r="HF302" s="21"/>
      <c r="HG302" s="21"/>
      <c r="HH302" s="21"/>
      <c r="HI302" s="168">
        <v>927216</v>
      </c>
      <c r="HJ302" s="168">
        <v>1025784</v>
      </c>
      <c r="HK302" s="21"/>
      <c r="HL302" s="21"/>
      <c r="HM302" s="21"/>
      <c r="HN302" s="21"/>
      <c r="HO302" s="21"/>
      <c r="HP302" s="21"/>
      <c r="HQ302" s="21"/>
      <c r="HR302" s="21"/>
      <c r="HS302" s="21"/>
      <c r="HT302" s="21"/>
      <c r="HU302" s="168">
        <v>2955767</v>
      </c>
      <c r="HV302" s="168">
        <v>2376193</v>
      </c>
      <c r="HW302" s="21"/>
      <c r="HX302" s="21"/>
      <c r="HY302" s="168">
        <v>573895</v>
      </c>
      <c r="HZ302" s="168">
        <v>915128</v>
      </c>
      <c r="IA302" s="21"/>
      <c r="IB302" s="21"/>
      <c r="IC302" s="21"/>
      <c r="ID302" s="21"/>
      <c r="IE302" s="168">
        <v>2582792</v>
      </c>
      <c r="IF302" s="168">
        <v>2520658</v>
      </c>
      <c r="IG302" s="21"/>
      <c r="IH302" s="21"/>
      <c r="II302" s="21"/>
      <c r="IJ302" s="21"/>
      <c r="IK302" s="21"/>
      <c r="IL302" s="21"/>
      <c r="IM302" s="21"/>
      <c r="IN302" s="21"/>
      <c r="IO302" s="21"/>
      <c r="IP302" s="21"/>
      <c r="IQ302" s="21"/>
      <c r="IR302" s="21"/>
      <c r="IS302" s="21"/>
      <c r="IT302" s="21"/>
      <c r="IU302" s="168">
        <v>4707865</v>
      </c>
      <c r="IV302" s="168">
        <v>4985459</v>
      </c>
      <c r="IW302" s="168">
        <v>4787488</v>
      </c>
      <c r="IX302" s="168">
        <v>4891452</v>
      </c>
      <c r="IY302" s="168">
        <v>-79623</v>
      </c>
      <c r="IZ302" s="168">
        <v>94007</v>
      </c>
      <c r="JA302" s="168">
        <v>1770870</v>
      </c>
      <c r="JB302" s="168">
        <v>2040233</v>
      </c>
      <c r="JC302" s="21"/>
      <c r="JD302" s="21"/>
      <c r="JE302" s="21"/>
      <c r="JF302" s="21"/>
      <c r="JG302" s="168">
        <v>41771</v>
      </c>
      <c r="JH302" s="168">
        <v>32851</v>
      </c>
      <c r="JI302" s="168">
        <v>146869097</v>
      </c>
      <c r="JJ302" s="168">
        <v>143246986</v>
      </c>
      <c r="JK302" s="168">
        <v>280829</v>
      </c>
      <c r="JL302" s="168">
        <v>204291</v>
      </c>
      <c r="JM302" s="168">
        <v>2739857</v>
      </c>
      <c r="JN302" s="168">
        <v>3098868</v>
      </c>
      <c r="JO302" s="168">
        <v>201206</v>
      </c>
      <c r="JP302" s="168">
        <v>298298</v>
      </c>
      <c r="JQ302" s="168">
        <v>113953546</v>
      </c>
      <c r="JR302" s="168">
        <v>111850218</v>
      </c>
      <c r="JS302" s="21"/>
      <c r="JT302" s="21"/>
      <c r="JU302" s="21"/>
      <c r="JV302" s="21"/>
      <c r="JW302" s="168">
        <v>148916728</v>
      </c>
      <c r="JX302" s="168">
        <v>145039570</v>
      </c>
      <c r="JY302" s="21"/>
      <c r="JZ302" s="21"/>
      <c r="KA302" s="168">
        <v>15481795</v>
      </c>
      <c r="KB302" s="168">
        <v>16861222</v>
      </c>
      <c r="KC302" s="21"/>
      <c r="KD302" s="21"/>
      <c r="KE302" s="21"/>
      <c r="KF302" s="21"/>
      <c r="KG302" s="21"/>
      <c r="KH302" s="21"/>
      <c r="KI302" s="168">
        <v>133434933</v>
      </c>
      <c r="KJ302" s="168">
        <v>128178348</v>
      </c>
      <c r="KK302" s="21"/>
      <c r="KL302" s="21"/>
      <c r="KM302" s="21"/>
      <c r="KN302" s="21"/>
      <c r="KO302" s="21"/>
      <c r="KP302" s="21"/>
      <c r="KQ302" s="168">
        <v>261124</v>
      </c>
      <c r="KR302" s="168">
        <v>149439</v>
      </c>
      <c r="KS302" s="21"/>
      <c r="KT302" s="21"/>
      <c r="KU302" s="168">
        <v>23574292</v>
      </c>
      <c r="KV302" s="168">
        <v>20887162</v>
      </c>
      <c r="KW302" s="21"/>
      <c r="KX302" s="21"/>
      <c r="KY302" s="21"/>
      <c r="KZ302" s="21"/>
      <c r="LA302" s="168">
        <v>250000</v>
      </c>
      <c r="LB302" s="168">
        <v>250000</v>
      </c>
      <c r="LC302" s="21"/>
      <c r="LD302" s="21"/>
      <c r="LE302" s="21"/>
      <c r="LF302" s="21"/>
      <c r="LG302" s="21"/>
      <c r="LH302" s="21"/>
      <c r="LI302" s="168">
        <v>6542457</v>
      </c>
      <c r="LJ302" s="168">
        <v>5201513</v>
      </c>
      <c r="LK302" s="168">
        <v>8301449</v>
      </c>
      <c r="LL302" s="168">
        <v>9133695</v>
      </c>
      <c r="LM302" s="168">
        <v>845833</v>
      </c>
      <c r="LN302" s="168">
        <v>758372</v>
      </c>
      <c r="LO302" s="21"/>
      <c r="LP302" s="21"/>
      <c r="LQ302" s="21"/>
      <c r="LR302" s="21"/>
      <c r="LS302" s="21"/>
      <c r="LT302" s="21"/>
      <c r="LU302" s="21"/>
      <c r="LV302" s="21"/>
      <c r="LW302" s="21"/>
      <c r="LX302" s="21"/>
      <c r="LY302" s="21"/>
      <c r="LZ302" s="21"/>
      <c r="MA302" s="21"/>
      <c r="MB302" s="21"/>
      <c r="MC302" s="168">
        <v>33489290</v>
      </c>
      <c r="MD302" s="168">
        <v>32203437</v>
      </c>
      <c r="ME302" s="21"/>
      <c r="MF302" s="21"/>
      <c r="MG302" s="21"/>
      <c r="MH302" s="21"/>
      <c r="MI302" s="168">
        <v>5155320</v>
      </c>
      <c r="MJ302" s="168">
        <v>5155320</v>
      </c>
      <c r="MK302" s="21"/>
      <c r="ML302" s="21"/>
      <c r="MM302" s="21"/>
      <c r="MN302" s="21"/>
      <c r="MO302" s="21"/>
      <c r="MP302" s="21"/>
      <c r="MQ302" s="21"/>
      <c r="MR302" s="21"/>
      <c r="MS302" s="21"/>
      <c r="MT302" s="168">
        <v>-1</v>
      </c>
      <c r="MU302" s="21"/>
      <c r="MV302" s="21"/>
      <c r="MW302" s="21"/>
      <c r="MX302" s="21"/>
      <c r="MY302" s="21"/>
      <c r="MZ302" s="21"/>
      <c r="NA302" s="21"/>
      <c r="NB302" s="21"/>
      <c r="NC302" s="168">
        <v>3803530</v>
      </c>
      <c r="ND302" s="168">
        <v>3687133</v>
      </c>
      <c r="NE302" s="21"/>
      <c r="NF302" s="21"/>
      <c r="NG302" s="168">
        <v>32783142</v>
      </c>
      <c r="NH302" s="168">
        <v>29979614</v>
      </c>
      <c r="NI302" s="21"/>
      <c r="NJ302" s="21"/>
      <c r="NK302" s="21"/>
      <c r="NL302" s="21"/>
      <c r="NM302" s="168">
        <v>49440153</v>
      </c>
      <c r="NN302" s="168">
        <v>47446456</v>
      </c>
      <c r="NO302" s="168">
        <v>83593560</v>
      </c>
      <c r="NP302" s="168">
        <v>79325950</v>
      </c>
      <c r="NQ302" s="168" t="s">
        <v>1199</v>
      </c>
      <c r="NR302" s="168" t="s">
        <v>823</v>
      </c>
      <c r="NS302" s="168" t="s">
        <v>770</v>
      </c>
      <c r="NT302" s="168" t="s">
        <v>771</v>
      </c>
      <c r="NU302" s="168">
        <v>5103</v>
      </c>
      <c r="NV302" s="168" t="s">
        <v>2104</v>
      </c>
      <c r="NW302" s="168" t="s">
        <v>28</v>
      </c>
      <c r="NX302" s="168" t="s">
        <v>25</v>
      </c>
      <c r="NY302" s="169">
        <v>42766</v>
      </c>
      <c r="NZ302" s="169">
        <v>42400</v>
      </c>
      <c r="OA302" s="169">
        <v>43102</v>
      </c>
      <c r="OB302" s="168" t="s">
        <v>1200</v>
      </c>
      <c r="OC302" s="168">
        <v>12</v>
      </c>
      <c r="OD302" s="168" t="s">
        <v>2105</v>
      </c>
      <c r="OE302" s="168" t="s">
        <v>2116</v>
      </c>
      <c r="OF302" s="168" t="s">
        <v>2365</v>
      </c>
      <c r="OG302" s="168" t="s">
        <v>1920</v>
      </c>
      <c r="OH302" s="168" t="s">
        <v>787</v>
      </c>
      <c r="OI302" s="168" t="s">
        <v>766</v>
      </c>
      <c r="OJ302" s="168" t="s">
        <v>3240</v>
      </c>
      <c r="OK302" s="168" t="s">
        <v>822</v>
      </c>
    </row>
    <row r="303" spans="1:401" x14ac:dyDescent="0.2">
      <c r="A303" s="170" t="str">
        <f>Liste[[#This Row],[Siren]]</f>
        <v>817886997</v>
      </c>
      <c r="B303" s="198" t="str">
        <f>Liste[[#This Row],[Dénomination]]&amp;" - comptes "&amp;YEAR(Liste[[#This Row],[Date de cloture de l''exercice]])</f>
        <v>LOMADIS - comptes 2017</v>
      </c>
      <c r="C303" s="21"/>
      <c r="D303" s="21"/>
      <c r="E303" s="168">
        <v>14105</v>
      </c>
      <c r="F303" s="168">
        <v>2368491</v>
      </c>
      <c r="G303" s="168">
        <v>3081494</v>
      </c>
      <c r="H303" s="168">
        <v>2382596</v>
      </c>
      <c r="I303" s="168">
        <v>462789</v>
      </c>
      <c r="J303" s="168">
        <v>120076</v>
      </c>
      <c r="K303" s="168">
        <v>197923</v>
      </c>
      <c r="L303" s="168">
        <v>582865</v>
      </c>
      <c r="M303" s="21"/>
      <c r="N303" s="168">
        <v>20692</v>
      </c>
      <c r="O303" s="168">
        <v>29776</v>
      </c>
      <c r="P303" s="168">
        <v>20692</v>
      </c>
      <c r="Q303" s="21"/>
      <c r="R303" s="21"/>
      <c r="S303" s="21"/>
      <c r="T303" s="21"/>
      <c r="U303" s="21"/>
      <c r="V303" s="168">
        <v>75000</v>
      </c>
      <c r="W303" s="168">
        <v>75000</v>
      </c>
      <c r="X303" s="168">
        <v>75000</v>
      </c>
      <c r="Y303" s="168">
        <v>1777</v>
      </c>
      <c r="Z303" s="168">
        <v>1433829</v>
      </c>
      <c r="AA303" s="168">
        <v>1433387</v>
      </c>
      <c r="AB303" s="168">
        <v>1435607</v>
      </c>
      <c r="AC303" s="21"/>
      <c r="AD303" s="21"/>
      <c r="AE303" s="21"/>
      <c r="AF303" s="21"/>
      <c r="AG303" s="21"/>
      <c r="AH303" s="21"/>
      <c r="AI303" s="21"/>
      <c r="AJ303" s="21"/>
      <c r="AK303" s="21"/>
      <c r="AL303" s="168">
        <v>2539</v>
      </c>
      <c r="AM303" s="21"/>
      <c r="AN303" s="168">
        <v>2539</v>
      </c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168">
        <v>343825</v>
      </c>
      <c r="BA303" s="168">
        <v>315046</v>
      </c>
      <c r="BB303" s="168">
        <v>343825</v>
      </c>
      <c r="BC303" s="168">
        <v>499</v>
      </c>
      <c r="BD303" s="168">
        <v>210666</v>
      </c>
      <c r="BE303" s="168">
        <v>230730</v>
      </c>
      <c r="BF303" s="168">
        <v>211166</v>
      </c>
      <c r="BG303" s="168">
        <v>104453</v>
      </c>
      <c r="BH303" s="168">
        <v>1870</v>
      </c>
      <c r="BI303" s="168">
        <v>934</v>
      </c>
      <c r="BJ303" s="168">
        <v>106323</v>
      </c>
      <c r="BK303" s="168">
        <v>13010629</v>
      </c>
      <c r="BL303" s="168">
        <v>9666545</v>
      </c>
      <c r="BM303" s="168">
        <v>10445267</v>
      </c>
      <c r="BN303" s="168">
        <v>22677175</v>
      </c>
      <c r="BO303" s="21"/>
      <c r="BP303" s="168">
        <v>243510</v>
      </c>
      <c r="BQ303" s="168">
        <v>376485</v>
      </c>
      <c r="BR303" s="168">
        <v>243510</v>
      </c>
      <c r="BS303" s="21"/>
      <c r="BT303" s="21"/>
      <c r="BU303" s="21"/>
      <c r="BV303" s="21"/>
      <c r="BW303" s="21"/>
      <c r="BX303" s="168">
        <v>706516</v>
      </c>
      <c r="BY303" s="168">
        <v>132920</v>
      </c>
      <c r="BZ303" s="168">
        <v>706516</v>
      </c>
      <c r="CA303" s="21"/>
      <c r="CB303" s="21"/>
      <c r="CC303" s="21"/>
      <c r="CD303" s="21"/>
      <c r="CE303" s="168">
        <v>7589099</v>
      </c>
      <c r="CF303" s="168">
        <v>7581778</v>
      </c>
      <c r="CG303" s="168">
        <v>7589099</v>
      </c>
      <c r="CH303" s="21"/>
      <c r="CI303" s="21"/>
      <c r="CJ303" s="21"/>
      <c r="CK303" s="21"/>
      <c r="CL303" s="21"/>
      <c r="CM303" s="21"/>
      <c r="CN303" s="21"/>
      <c r="CO303" s="21"/>
      <c r="CP303" s="21"/>
      <c r="CQ303" s="21"/>
      <c r="CR303" s="21"/>
      <c r="CS303" s="21"/>
      <c r="CT303" s="21"/>
      <c r="CU303" s="21"/>
      <c r="CV303" s="21"/>
      <c r="CW303" s="21"/>
      <c r="CX303" s="21"/>
      <c r="CY303" s="21"/>
      <c r="CZ303" s="21"/>
      <c r="DA303" s="21"/>
      <c r="DB303" s="21"/>
      <c r="DC303" s="168">
        <v>8400</v>
      </c>
      <c r="DD303" s="168">
        <v>21880</v>
      </c>
      <c r="DE303" s="168">
        <v>8400</v>
      </c>
      <c r="DF303" s="168">
        <v>4231765</v>
      </c>
      <c r="DG303" s="168">
        <v>1861515</v>
      </c>
      <c r="DH303" s="168">
        <v>2142614</v>
      </c>
      <c r="DI303" s="168">
        <v>6093280</v>
      </c>
      <c r="DJ303" s="168">
        <v>238342</v>
      </c>
      <c r="DK303" s="168">
        <v>6974229</v>
      </c>
      <c r="DL303" s="168">
        <v>6923402</v>
      </c>
      <c r="DM303" s="168">
        <v>7212571</v>
      </c>
      <c r="DN303" s="21"/>
      <c r="DO303" s="168">
        <v>44339</v>
      </c>
      <c r="DP303" s="168">
        <v>43399</v>
      </c>
      <c r="DQ303" s="168">
        <v>44339</v>
      </c>
      <c r="DR303" s="21"/>
      <c r="DS303" s="21"/>
      <c r="DT303" s="21"/>
      <c r="DU303" s="21"/>
      <c r="DV303" s="21"/>
      <c r="DW303" s="168">
        <v>837261</v>
      </c>
      <c r="DX303" s="168">
        <v>787755</v>
      </c>
      <c r="DY303" s="168">
        <v>837261</v>
      </c>
      <c r="DZ303" s="21"/>
      <c r="EA303" s="21"/>
      <c r="EB303" s="21"/>
      <c r="EC303" s="21"/>
      <c r="ED303" s="21"/>
      <c r="EE303" s="21"/>
      <c r="EF303" s="21"/>
      <c r="EG303" s="21"/>
      <c r="EH303" s="21"/>
      <c r="EI303" s="21"/>
      <c r="EJ303" s="21"/>
      <c r="EK303" s="168">
        <v>18242173</v>
      </c>
      <c r="EL303" s="168">
        <v>26328770</v>
      </c>
      <c r="EM303" s="168">
        <v>27628394</v>
      </c>
      <c r="EN303" s="168">
        <v>44570943</v>
      </c>
      <c r="EO303" s="168">
        <v>254478</v>
      </c>
      <c r="EP303" s="168">
        <v>10652943</v>
      </c>
      <c r="EQ303" s="168">
        <v>11328890</v>
      </c>
      <c r="ER303" s="168">
        <v>10907421</v>
      </c>
      <c r="ES303" s="168">
        <v>18496651</v>
      </c>
      <c r="ET303" s="168">
        <v>36981713</v>
      </c>
      <c r="EU303" s="168">
        <v>38957284</v>
      </c>
      <c r="EV303" s="168">
        <v>55478365</v>
      </c>
      <c r="EW303" s="168">
        <v>430758</v>
      </c>
      <c r="EX303" s="168">
        <v>4470970</v>
      </c>
      <c r="EY303" s="168">
        <v>4535591</v>
      </c>
      <c r="EZ303" s="168">
        <v>4901728</v>
      </c>
      <c r="FA303" s="21"/>
      <c r="FB303" s="21"/>
      <c r="FC303" s="21"/>
      <c r="FD303" s="21"/>
      <c r="FE303" s="168">
        <v>1531</v>
      </c>
      <c r="FF303" s="168">
        <v>2336</v>
      </c>
      <c r="FG303" s="168">
        <v>601896</v>
      </c>
      <c r="FH303" s="168">
        <v>3868</v>
      </c>
      <c r="FI303" s="168">
        <v>-372442</v>
      </c>
      <c r="FJ303" s="168">
        <v>-31900</v>
      </c>
      <c r="FK303" s="21"/>
      <c r="FL303" s="21"/>
      <c r="FM303" s="168">
        <v>176718</v>
      </c>
      <c r="FN303" s="168">
        <v>18122</v>
      </c>
      <c r="FO303" s="168">
        <v>308049</v>
      </c>
      <c r="FP303" s="168">
        <v>33137</v>
      </c>
      <c r="FQ303" s="21"/>
      <c r="FR303" s="21"/>
      <c r="FS303" s="168">
        <v>375779</v>
      </c>
      <c r="FT303" s="168">
        <v>167940</v>
      </c>
      <c r="FU303" s="168">
        <v>-34407</v>
      </c>
      <c r="FV303" s="168">
        <v>-30241</v>
      </c>
      <c r="FW303" s="168">
        <v>447864</v>
      </c>
      <c r="FX303" s="168">
        <v>289563</v>
      </c>
      <c r="FY303" s="168">
        <v>-9913</v>
      </c>
      <c r="FZ303" s="168">
        <v>485</v>
      </c>
      <c r="GA303" s="21"/>
      <c r="GB303" s="21"/>
      <c r="GC303" s="168">
        <v>74456</v>
      </c>
      <c r="GD303" s="168">
        <v>161559</v>
      </c>
      <c r="GE303" s="168">
        <v>106873</v>
      </c>
      <c r="GF303" s="168">
        <v>25740</v>
      </c>
      <c r="GG303" s="21"/>
      <c r="GH303" s="21"/>
      <c r="GI303" s="21"/>
      <c r="GJ303" s="21"/>
      <c r="GK303" s="168">
        <v>306775</v>
      </c>
      <c r="GL303" s="21"/>
      <c r="GM303" s="168">
        <v>1295026</v>
      </c>
      <c r="GN303" s="168">
        <v>930498</v>
      </c>
      <c r="GO303" s="168">
        <v>1295026</v>
      </c>
      <c r="GP303" s="168">
        <v>930498</v>
      </c>
      <c r="GQ303" s="21"/>
      <c r="GR303" s="21"/>
      <c r="GS303" s="168">
        <v>1304940</v>
      </c>
      <c r="GT303" s="168">
        <v>930013</v>
      </c>
      <c r="GU303" s="168">
        <v>860547</v>
      </c>
      <c r="GV303" s="168">
        <v>219199</v>
      </c>
      <c r="GW303" s="168">
        <v>488105</v>
      </c>
      <c r="GX303" s="168">
        <v>187299</v>
      </c>
      <c r="GY303" s="168">
        <v>63036536</v>
      </c>
      <c r="GZ303" s="168">
        <v>61405919</v>
      </c>
      <c r="HA303" s="168">
        <v>-939</v>
      </c>
      <c r="HB303" s="168">
        <v>-7021</v>
      </c>
      <c r="HC303" s="168">
        <v>6108028</v>
      </c>
      <c r="HD303" s="168">
        <v>5765376</v>
      </c>
      <c r="HE303" s="168">
        <v>17782</v>
      </c>
      <c r="HF303" s="168">
        <v>14524</v>
      </c>
      <c r="HG303" s="168">
        <v>8027</v>
      </c>
      <c r="HH303" s="168">
        <v>13841</v>
      </c>
      <c r="HI303" s="168">
        <v>355310</v>
      </c>
      <c r="HJ303" s="168">
        <v>161730</v>
      </c>
      <c r="HK303" s="21"/>
      <c r="HL303" s="21"/>
      <c r="HM303" s="21"/>
      <c r="HN303" s="21"/>
      <c r="HO303" s="168">
        <v>1946787</v>
      </c>
      <c r="HP303" s="168">
        <v>2023729</v>
      </c>
      <c r="HQ303" s="21"/>
      <c r="HR303" s="21"/>
      <c r="HS303" s="21"/>
      <c r="HT303" s="21"/>
      <c r="HU303" s="168">
        <v>1631986</v>
      </c>
      <c r="HV303" s="168">
        <v>1885123</v>
      </c>
      <c r="HW303" s="21"/>
      <c r="HX303" s="21"/>
      <c r="HY303" s="168">
        <v>675888</v>
      </c>
      <c r="HZ303" s="168">
        <v>681941</v>
      </c>
      <c r="IA303" s="168">
        <v>252946</v>
      </c>
      <c r="IB303" s="168">
        <v>219895</v>
      </c>
      <c r="IC303" s="21"/>
      <c r="ID303" s="168">
        <v>2255</v>
      </c>
      <c r="IE303" s="168">
        <v>1339835</v>
      </c>
      <c r="IF303" s="168">
        <v>1468291</v>
      </c>
      <c r="IG303" s="168">
        <v>281595</v>
      </c>
      <c r="IH303" s="168">
        <v>140206</v>
      </c>
      <c r="II303" s="21"/>
      <c r="IJ303" s="21"/>
      <c r="IK303" s="21"/>
      <c r="IL303" s="21"/>
      <c r="IM303" s="21"/>
      <c r="IN303" s="21"/>
      <c r="IO303" s="168">
        <v>13207</v>
      </c>
      <c r="IP303" s="168">
        <v>12595</v>
      </c>
      <c r="IQ303" s="21"/>
      <c r="IR303" s="21"/>
      <c r="IS303" s="168">
        <v>147</v>
      </c>
      <c r="IT303" s="168">
        <v>144</v>
      </c>
      <c r="IU303" s="168">
        <v>2080926</v>
      </c>
      <c r="IV303" s="168">
        <v>1221721</v>
      </c>
      <c r="IW303" s="168">
        <v>2339040</v>
      </c>
      <c r="IX303" s="168">
        <v>1329206</v>
      </c>
      <c r="IY303" s="168">
        <v>-258114</v>
      </c>
      <c r="IZ303" s="168">
        <v>-107485</v>
      </c>
      <c r="JA303" s="168">
        <v>950406</v>
      </c>
      <c r="JB303" s="168">
        <v>728610</v>
      </c>
      <c r="JC303" s="168">
        <v>440</v>
      </c>
      <c r="JD303" s="168">
        <v>5665</v>
      </c>
      <c r="JE303" s="168">
        <v>6392238</v>
      </c>
      <c r="JF303" s="168">
        <v>6592149</v>
      </c>
      <c r="JG303" s="21"/>
      <c r="JH303" s="21"/>
      <c r="JI303" s="168">
        <v>81494666</v>
      </c>
      <c r="JJ303" s="168">
        <v>79742060</v>
      </c>
      <c r="JK303" s="168">
        <v>281595</v>
      </c>
      <c r="JL303" s="168">
        <v>142461</v>
      </c>
      <c r="JM303" s="168">
        <v>83833707</v>
      </c>
      <c r="JN303" s="168">
        <v>81071266</v>
      </c>
      <c r="JO303" s="168">
        <v>23480</v>
      </c>
      <c r="JP303" s="168">
        <v>34976</v>
      </c>
      <c r="JQ303" s="168">
        <v>-90680</v>
      </c>
      <c r="JR303" s="168">
        <v>-507653</v>
      </c>
      <c r="JS303" s="21"/>
      <c r="JT303" s="21"/>
      <c r="JU303" s="21"/>
      <c r="JV303" s="21"/>
      <c r="JW303" s="168">
        <v>82527989</v>
      </c>
      <c r="JX303" s="168">
        <v>80180925</v>
      </c>
      <c r="JY303" s="21"/>
      <c r="JZ303" s="21"/>
      <c r="KA303" s="168">
        <v>35308</v>
      </c>
      <c r="KB303" s="168">
        <v>37181</v>
      </c>
      <c r="KC303" s="21"/>
      <c r="KD303" s="21"/>
      <c r="KE303" s="168">
        <v>716943</v>
      </c>
      <c r="KF303" s="168">
        <v>1209206</v>
      </c>
      <c r="KG303" s="21"/>
      <c r="KH303" s="21"/>
      <c r="KI303" s="168">
        <v>81775737</v>
      </c>
      <c r="KJ303" s="168">
        <v>78934537</v>
      </c>
      <c r="KK303" s="21"/>
      <c r="KL303" s="21"/>
      <c r="KM303" s="21"/>
      <c r="KN303" s="21"/>
      <c r="KO303" s="21"/>
      <c r="KP303" s="21"/>
      <c r="KQ303" s="168">
        <v>70760</v>
      </c>
      <c r="KR303" s="168">
        <v>14562301</v>
      </c>
      <c r="KS303" s="21"/>
      <c r="KT303" s="21"/>
      <c r="KU303" s="21"/>
      <c r="KV303" s="21"/>
      <c r="KW303" s="21"/>
      <c r="KX303" s="21"/>
      <c r="KY303" s="168">
        <v>4797</v>
      </c>
      <c r="KZ303" s="168">
        <v>4498</v>
      </c>
      <c r="LA303" s="168">
        <v>3403600</v>
      </c>
      <c r="LB303" s="168">
        <v>3403600</v>
      </c>
      <c r="LC303" s="21"/>
      <c r="LD303" s="21"/>
      <c r="LE303" s="21"/>
      <c r="LF303" s="21"/>
      <c r="LG303" s="21"/>
      <c r="LH303" s="21"/>
      <c r="LI303" s="168">
        <v>3095418</v>
      </c>
      <c r="LJ303" s="168">
        <v>3116266</v>
      </c>
      <c r="LK303" s="168">
        <v>5618428</v>
      </c>
      <c r="LL303" s="168">
        <v>6347862</v>
      </c>
      <c r="LM303" s="168">
        <v>67885</v>
      </c>
      <c r="LN303" s="168">
        <v>460263</v>
      </c>
      <c r="LO303" s="21"/>
      <c r="LP303" s="21"/>
      <c r="LQ303" s="21"/>
      <c r="LR303" s="21"/>
      <c r="LS303" s="21"/>
      <c r="LT303" s="21"/>
      <c r="LU303" s="21"/>
      <c r="LV303" s="21"/>
      <c r="LW303" s="21"/>
      <c r="LX303" s="21"/>
      <c r="LY303" s="21"/>
      <c r="LZ303" s="21"/>
      <c r="MA303" s="168">
        <v>20531036</v>
      </c>
      <c r="MB303" s="168">
        <v>9060246</v>
      </c>
      <c r="MC303" s="168">
        <v>1461782</v>
      </c>
      <c r="MD303" s="168">
        <v>765225</v>
      </c>
      <c r="ME303" s="21"/>
      <c r="MF303" s="21"/>
      <c r="MG303" s="21"/>
      <c r="MH303" s="21"/>
      <c r="MI303" s="21"/>
      <c r="MJ303" s="21"/>
      <c r="MK303" s="21"/>
      <c r="ML303" s="21"/>
      <c r="MM303" s="168">
        <v>102249</v>
      </c>
      <c r="MN303" s="168">
        <v>103142</v>
      </c>
      <c r="MO303" s="168">
        <v>675888</v>
      </c>
      <c r="MP303" s="168">
        <v>710987</v>
      </c>
      <c r="MQ303" s="168">
        <v>374763</v>
      </c>
      <c r="MR303" s="168">
        <v>139468</v>
      </c>
      <c r="MS303" s="21"/>
      <c r="MT303" s="21"/>
      <c r="MU303" s="168">
        <v>-11314</v>
      </c>
      <c r="MV303" s="21"/>
      <c r="MW303" s="21"/>
      <c r="MX303" s="21"/>
      <c r="MY303" s="21"/>
      <c r="MZ303" s="21"/>
      <c r="NA303" s="21"/>
      <c r="NB303" s="21"/>
      <c r="NC303" s="168">
        <v>1304940</v>
      </c>
      <c r="ND303" s="168">
        <v>930013</v>
      </c>
      <c r="NE303" s="21"/>
      <c r="NF303" s="21"/>
      <c r="NG303" s="168">
        <v>4716953</v>
      </c>
      <c r="NH303" s="168">
        <v>3412012</v>
      </c>
      <c r="NI303" s="21"/>
      <c r="NJ303" s="21"/>
      <c r="NK303" s="21"/>
      <c r="NL303" s="21"/>
      <c r="NM303" s="168">
        <v>31159810</v>
      </c>
      <c r="NN303" s="168">
        <v>34628644</v>
      </c>
      <c r="NO303" s="168">
        <v>36981713</v>
      </c>
      <c r="NP303" s="168">
        <v>38957284</v>
      </c>
      <c r="NQ303" s="168" t="s">
        <v>905</v>
      </c>
      <c r="NR303" s="168" t="s">
        <v>769</v>
      </c>
      <c r="NS303" s="168" t="s">
        <v>770</v>
      </c>
      <c r="NT303" s="168" t="s">
        <v>771</v>
      </c>
      <c r="NU303" s="168">
        <v>6101</v>
      </c>
      <c r="NV303" s="168" t="s">
        <v>2104</v>
      </c>
      <c r="NW303" s="168" t="s">
        <v>28</v>
      </c>
      <c r="NX303" s="168" t="s">
        <v>25</v>
      </c>
      <c r="NY303" s="169">
        <v>42766</v>
      </c>
      <c r="NZ303" s="169">
        <v>42400</v>
      </c>
      <c r="OA303" s="169">
        <v>43019</v>
      </c>
      <c r="OB303" s="168" t="s">
        <v>1447</v>
      </c>
      <c r="OC303" s="168">
        <v>12</v>
      </c>
      <c r="OD303" s="168" t="s">
        <v>2104</v>
      </c>
      <c r="OE303" s="168" t="s">
        <v>2183</v>
      </c>
      <c r="OF303" s="168" t="s">
        <v>2548</v>
      </c>
      <c r="OG303" s="168" t="s">
        <v>2023</v>
      </c>
      <c r="OH303" s="168" t="s">
        <v>877</v>
      </c>
      <c r="OI303" s="168" t="s">
        <v>766</v>
      </c>
      <c r="OJ303" s="168" t="s">
        <v>3240</v>
      </c>
      <c r="OK303" s="168" t="s">
        <v>767</v>
      </c>
    </row>
    <row r="304" spans="1:401" x14ac:dyDescent="0.2">
      <c r="A304" s="170" t="str">
        <f>Liste[[#This Row],[Siren]]</f>
        <v>493337901</v>
      </c>
      <c r="B304" s="198" t="str">
        <f>Liste[[#This Row],[Dénomination]]&amp;" - comptes "&amp;YEAR(Liste[[#This Row],[Date de cloture de l''exercice]])</f>
        <v>FINANCIERE DE DOMMARTIN - FIDOM - comptes 2017</v>
      </c>
      <c r="C304" s="21"/>
      <c r="D304" s="21"/>
      <c r="E304" s="21"/>
      <c r="F304" s="168">
        <v>350268</v>
      </c>
      <c r="G304" s="168">
        <v>454471</v>
      </c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168">
        <v>541159</v>
      </c>
      <c r="BE304" s="168">
        <v>365092</v>
      </c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168">
        <v>231014</v>
      </c>
      <c r="BY304" s="168">
        <v>240240</v>
      </c>
      <c r="BZ304" s="21"/>
      <c r="CA304" s="21"/>
      <c r="CB304" s="21"/>
      <c r="CC304" s="21"/>
      <c r="CD304" s="21"/>
      <c r="CE304" s="168">
        <v>11650346</v>
      </c>
      <c r="CF304" s="168">
        <v>2191796</v>
      </c>
      <c r="CG304" s="21"/>
      <c r="CH304" s="21"/>
      <c r="CI304" s="21"/>
      <c r="CJ304" s="21"/>
      <c r="CK304" s="21"/>
      <c r="CL304" s="21"/>
      <c r="CM304" s="21"/>
      <c r="CN304" s="21"/>
      <c r="CO304" s="21"/>
      <c r="CP304" s="21"/>
      <c r="CQ304" s="21"/>
      <c r="CR304" s="21"/>
      <c r="CS304" s="21"/>
      <c r="CT304" s="21"/>
      <c r="CU304" s="21"/>
      <c r="CV304" s="21"/>
      <c r="CW304" s="21"/>
      <c r="CX304" s="21"/>
      <c r="CY304" s="21"/>
      <c r="CZ304" s="21"/>
      <c r="DA304" s="21"/>
      <c r="DB304" s="21"/>
      <c r="DC304" s="21"/>
      <c r="DD304" s="21"/>
      <c r="DE304" s="21"/>
      <c r="DF304" s="21"/>
      <c r="DG304" s="21"/>
      <c r="DH304" s="21"/>
      <c r="DI304" s="21"/>
      <c r="DJ304" s="21"/>
      <c r="DK304" s="21"/>
      <c r="DL304" s="21"/>
      <c r="DM304" s="21"/>
      <c r="DN304" s="21"/>
      <c r="DO304" s="21"/>
      <c r="DP304" s="21"/>
      <c r="DQ304" s="21"/>
      <c r="DR304" s="21"/>
      <c r="DS304" s="21"/>
      <c r="DT304" s="21"/>
      <c r="DU304" s="21"/>
      <c r="DV304" s="21"/>
      <c r="DW304" s="21"/>
      <c r="DX304" s="21"/>
      <c r="DY304" s="21"/>
      <c r="DZ304" s="21"/>
      <c r="EA304" s="21"/>
      <c r="EB304" s="21"/>
      <c r="EC304" s="21"/>
      <c r="ED304" s="21"/>
      <c r="EE304" s="21"/>
      <c r="EF304" s="21"/>
      <c r="EG304" s="21"/>
      <c r="EH304" s="21"/>
      <c r="EI304" s="21"/>
      <c r="EJ304" s="21"/>
      <c r="EK304" s="21"/>
      <c r="EL304" s="168">
        <v>9630005</v>
      </c>
      <c r="EM304" s="168">
        <v>20025159</v>
      </c>
      <c r="EN304" s="21"/>
      <c r="EO304" s="21"/>
      <c r="EP304" s="168">
        <v>4734632</v>
      </c>
      <c r="EQ304" s="168">
        <v>5898168</v>
      </c>
      <c r="ER304" s="21"/>
      <c r="ES304" s="21"/>
      <c r="ET304" s="168">
        <v>26343360</v>
      </c>
      <c r="EU304" s="168">
        <v>28462393</v>
      </c>
      <c r="EV304" s="21"/>
      <c r="EW304" s="21"/>
      <c r="EX304" s="21"/>
      <c r="EY304" s="21"/>
      <c r="EZ304" s="21"/>
      <c r="FA304" s="21"/>
      <c r="FB304" s="21"/>
      <c r="FC304" s="21"/>
      <c r="FD304" s="21"/>
      <c r="FE304" s="21"/>
      <c r="FF304" s="21"/>
      <c r="FG304" s="21"/>
      <c r="FH304" s="21"/>
      <c r="FI304" s="168">
        <v>-1023276</v>
      </c>
      <c r="FJ304" s="168">
        <v>162904</v>
      </c>
      <c r="FK304" s="21"/>
      <c r="FL304" s="21"/>
      <c r="FM304" s="21"/>
      <c r="FN304" s="21"/>
      <c r="FO304" s="21"/>
      <c r="FP304" s="21"/>
      <c r="FQ304" s="168">
        <v>194031</v>
      </c>
      <c r="FR304" s="168">
        <v>200390</v>
      </c>
      <c r="FS304" s="21"/>
      <c r="FT304" s="21"/>
      <c r="FU304" s="21"/>
      <c r="FV304" s="21"/>
      <c r="FW304" s="168">
        <v>1870114</v>
      </c>
      <c r="FX304" s="168">
        <v>752856</v>
      </c>
      <c r="FY304" s="168">
        <v>5170</v>
      </c>
      <c r="FZ304" s="168">
        <v>5306</v>
      </c>
      <c r="GA304" s="21"/>
      <c r="GB304" s="21"/>
      <c r="GC304" s="21"/>
      <c r="GD304" s="21"/>
      <c r="GE304" s="21"/>
      <c r="GF304" s="21"/>
      <c r="GG304" s="21"/>
      <c r="GH304" s="21"/>
      <c r="GI304" s="21"/>
      <c r="GJ304" s="21"/>
      <c r="GK304" s="21"/>
      <c r="GL304" s="21"/>
      <c r="GM304" s="168">
        <v>-1929957</v>
      </c>
      <c r="GN304" s="168">
        <v>591729</v>
      </c>
      <c r="GO304" s="168">
        <v>-1735926</v>
      </c>
      <c r="GP304" s="168">
        <v>792119</v>
      </c>
      <c r="GQ304" s="21"/>
      <c r="GR304" s="21"/>
      <c r="GS304" s="168">
        <v>-1935127</v>
      </c>
      <c r="GT304" s="168">
        <v>586423</v>
      </c>
      <c r="GU304" s="168">
        <v>1128480</v>
      </c>
      <c r="GV304" s="168">
        <v>25422</v>
      </c>
      <c r="GW304" s="168">
        <v>105204</v>
      </c>
      <c r="GX304" s="168">
        <v>188326</v>
      </c>
      <c r="GY304" s="21"/>
      <c r="GZ304" s="21"/>
      <c r="HA304" s="21"/>
      <c r="HB304" s="21"/>
      <c r="HC304" s="168">
        <v>2634954</v>
      </c>
      <c r="HD304" s="168">
        <v>2694533</v>
      </c>
      <c r="HE304" s="168">
        <v>127319</v>
      </c>
      <c r="HF304" s="168">
        <v>407703</v>
      </c>
      <c r="HG304" s="21"/>
      <c r="HH304" s="21"/>
      <c r="HI304" s="168">
        <v>354301</v>
      </c>
      <c r="HJ304" s="168">
        <v>441453</v>
      </c>
      <c r="HK304" s="21"/>
      <c r="HL304" s="21"/>
      <c r="HM304" s="21"/>
      <c r="HN304" s="21"/>
      <c r="HO304" s="21"/>
      <c r="HP304" s="21"/>
      <c r="HQ304" s="21"/>
      <c r="HR304" s="21"/>
      <c r="HS304" s="21"/>
      <c r="HT304" s="21"/>
      <c r="HU304" s="168">
        <v>1116340</v>
      </c>
      <c r="HV304" s="168">
        <v>1066945</v>
      </c>
      <c r="HW304" s="21"/>
      <c r="HX304" s="21"/>
      <c r="HY304" s="168">
        <v>40210</v>
      </c>
      <c r="HZ304" s="168">
        <v>51521</v>
      </c>
      <c r="IA304" s="21"/>
      <c r="IB304" s="21"/>
      <c r="IC304" s="21"/>
      <c r="ID304" s="21"/>
      <c r="IE304" s="168">
        <v>725637</v>
      </c>
      <c r="IF304" s="168">
        <v>676206</v>
      </c>
      <c r="IG304" s="21"/>
      <c r="IH304" s="21"/>
      <c r="II304" s="21"/>
      <c r="IJ304" s="21"/>
      <c r="IK304" s="21"/>
      <c r="IL304" s="21"/>
      <c r="IM304" s="21"/>
      <c r="IN304" s="21"/>
      <c r="IO304" s="21"/>
      <c r="IP304" s="21"/>
      <c r="IQ304" s="21"/>
      <c r="IR304" s="21"/>
      <c r="IS304" s="21"/>
      <c r="IT304" s="21"/>
      <c r="IU304" s="168">
        <v>1157464</v>
      </c>
      <c r="IV304" s="168">
        <v>1382071</v>
      </c>
      <c r="IW304" s="168">
        <v>1465212</v>
      </c>
      <c r="IX304" s="168">
        <v>1702941</v>
      </c>
      <c r="IY304" s="168">
        <v>-307748</v>
      </c>
      <c r="IZ304" s="168">
        <v>-320870</v>
      </c>
      <c r="JA304" s="168">
        <v>221503</v>
      </c>
      <c r="JB304" s="168">
        <v>183078</v>
      </c>
      <c r="JC304" s="21"/>
      <c r="JD304" s="21"/>
      <c r="JE304" s="21"/>
      <c r="JF304" s="21"/>
      <c r="JG304" s="168">
        <v>73338</v>
      </c>
      <c r="JH304" s="168">
        <v>72111</v>
      </c>
      <c r="JI304" s="168">
        <v>53095440</v>
      </c>
      <c r="JJ304" s="168">
        <v>52139201</v>
      </c>
      <c r="JK304" s="168">
        <v>308768</v>
      </c>
      <c r="JL304" s="168">
        <v>321869</v>
      </c>
      <c r="JM304" s="168">
        <v>649142</v>
      </c>
      <c r="JN304" s="168">
        <v>696642</v>
      </c>
      <c r="JO304" s="168">
        <v>1020</v>
      </c>
      <c r="JP304" s="168">
        <v>999</v>
      </c>
      <c r="JQ304" s="21"/>
      <c r="JR304" s="21"/>
      <c r="JS304" s="21"/>
      <c r="JT304" s="21"/>
      <c r="JU304" s="21"/>
      <c r="JV304" s="21"/>
      <c r="JW304" s="168">
        <v>53911510</v>
      </c>
      <c r="JX304" s="168">
        <v>53145500</v>
      </c>
      <c r="JY304" s="21"/>
      <c r="JZ304" s="21"/>
      <c r="KA304" s="21"/>
      <c r="KB304" s="21"/>
      <c r="KC304" s="21"/>
      <c r="KD304" s="21"/>
      <c r="KE304" s="21"/>
      <c r="KF304" s="21"/>
      <c r="KG304" s="21"/>
      <c r="KH304" s="21"/>
      <c r="KI304" s="168">
        <v>49334102</v>
      </c>
      <c r="KJ304" s="168">
        <v>48506681</v>
      </c>
      <c r="KK304" s="21"/>
      <c r="KL304" s="21"/>
      <c r="KM304" s="21"/>
      <c r="KN304" s="21"/>
      <c r="KO304" s="21"/>
      <c r="KP304" s="21"/>
      <c r="KQ304" s="168">
        <v>80868</v>
      </c>
      <c r="KR304" s="168">
        <v>141269</v>
      </c>
      <c r="KS304" s="21"/>
      <c r="KT304" s="21"/>
      <c r="KU304" s="21"/>
      <c r="KV304" s="21"/>
      <c r="KW304" s="21"/>
      <c r="KX304" s="21"/>
      <c r="KY304" s="21"/>
      <c r="KZ304" s="21"/>
      <c r="LA304" s="168">
        <v>40000</v>
      </c>
      <c r="LB304" s="168">
        <v>40000</v>
      </c>
      <c r="LC304" s="21"/>
      <c r="LD304" s="21"/>
      <c r="LE304" s="21"/>
      <c r="LF304" s="21"/>
      <c r="LG304" s="21"/>
      <c r="LH304" s="21"/>
      <c r="LI304" s="168">
        <v>1701683</v>
      </c>
      <c r="LJ304" s="168">
        <v>1341054</v>
      </c>
      <c r="LK304" s="168">
        <v>2771321</v>
      </c>
      <c r="LL304" s="168">
        <v>3009315</v>
      </c>
      <c r="LM304" s="168">
        <v>21885</v>
      </c>
      <c r="LN304" s="168">
        <v>1384</v>
      </c>
      <c r="LO304" s="21"/>
      <c r="LP304" s="21"/>
      <c r="LQ304" s="21"/>
      <c r="LR304" s="21"/>
      <c r="LS304" s="21"/>
      <c r="LT304" s="21"/>
      <c r="LU304" s="21"/>
      <c r="LV304" s="21"/>
      <c r="LW304" s="21"/>
      <c r="LX304" s="21"/>
      <c r="LY304" s="21"/>
      <c r="LZ304" s="21"/>
      <c r="MA304" s="21"/>
      <c r="MB304" s="21"/>
      <c r="MC304" s="168">
        <v>17927558</v>
      </c>
      <c r="MD304" s="168">
        <v>19270955</v>
      </c>
      <c r="ME304" s="21"/>
      <c r="MF304" s="21"/>
      <c r="MG304" s="21"/>
      <c r="MH304" s="21"/>
      <c r="MI304" s="21"/>
      <c r="MJ304" s="21"/>
      <c r="MK304" s="21"/>
      <c r="ML304" s="21"/>
      <c r="MM304" s="21"/>
      <c r="MN304" s="21"/>
      <c r="MO304" s="21"/>
      <c r="MP304" s="21"/>
      <c r="MQ304" s="21"/>
      <c r="MR304" s="21"/>
      <c r="MS304" s="21"/>
      <c r="MT304" s="21"/>
      <c r="MU304" s="21"/>
      <c r="MV304" s="21"/>
      <c r="MW304" s="21"/>
      <c r="MX304" s="21"/>
      <c r="MY304" s="21"/>
      <c r="MZ304" s="21"/>
      <c r="NA304" s="21"/>
      <c r="NB304" s="21"/>
      <c r="NC304" s="168">
        <v>-1935127</v>
      </c>
      <c r="ND304" s="168">
        <v>586423</v>
      </c>
      <c r="NE304" s="21"/>
      <c r="NF304" s="21"/>
      <c r="NG304" s="168">
        <v>1852537</v>
      </c>
      <c r="NH304" s="168">
        <v>3787668</v>
      </c>
      <c r="NI304" s="21"/>
      <c r="NJ304" s="21"/>
      <c r="NK304" s="168">
        <v>3070</v>
      </c>
      <c r="NL304" s="168">
        <v>5694</v>
      </c>
      <c r="NM304" s="168">
        <v>22503315</v>
      </c>
      <c r="NN304" s="168">
        <v>23763977</v>
      </c>
      <c r="NO304" s="168">
        <v>26343360</v>
      </c>
      <c r="NP304" s="168">
        <v>28462393</v>
      </c>
      <c r="NQ304" s="168" t="s">
        <v>1346</v>
      </c>
      <c r="NR304" s="168" t="s">
        <v>769</v>
      </c>
      <c r="NS304" s="168" t="s">
        <v>770</v>
      </c>
      <c r="NT304" s="168" t="s">
        <v>771</v>
      </c>
      <c r="NU304" s="168">
        <v>5402</v>
      </c>
      <c r="NV304" s="168" t="s">
        <v>2104</v>
      </c>
      <c r="NW304" s="168" t="s">
        <v>28</v>
      </c>
      <c r="NX304" s="168" t="s">
        <v>25</v>
      </c>
      <c r="NY304" s="169">
        <v>42766</v>
      </c>
      <c r="NZ304" s="169">
        <v>42400</v>
      </c>
      <c r="OA304" s="169">
        <v>42951</v>
      </c>
      <c r="OB304" s="168" t="s">
        <v>1347</v>
      </c>
      <c r="OC304" s="168">
        <v>12</v>
      </c>
      <c r="OD304" s="168" t="s">
        <v>2105</v>
      </c>
      <c r="OE304" s="168" t="s">
        <v>2137</v>
      </c>
      <c r="OF304" s="168" t="s">
        <v>2480</v>
      </c>
      <c r="OG304" s="168" t="s">
        <v>1978</v>
      </c>
      <c r="OH304" s="168" t="s">
        <v>977</v>
      </c>
      <c r="OI304" s="168" t="s">
        <v>766</v>
      </c>
      <c r="OJ304" s="168" t="s">
        <v>3240</v>
      </c>
      <c r="OK304" s="168" t="s">
        <v>767</v>
      </c>
    </row>
    <row r="305" spans="1:401" x14ac:dyDescent="0.2">
      <c r="A305" s="170" t="str">
        <f>Liste[[#This Row],[Siren]]</f>
        <v>508880648</v>
      </c>
      <c r="B305" s="198" t="str">
        <f>Liste[[#This Row],[Dénomination]]&amp;" - comptes "&amp;YEAR(Liste[[#This Row],[Date de cloture de l''exercice]])</f>
        <v>LP EXPANSION - comptes 2017</v>
      </c>
      <c r="C305" s="21"/>
      <c r="D305" s="21"/>
      <c r="E305" s="168">
        <v>2558</v>
      </c>
      <c r="F305" s="168">
        <v>5921031</v>
      </c>
      <c r="G305" s="168">
        <v>4858378</v>
      </c>
      <c r="H305" s="168">
        <v>5923589</v>
      </c>
      <c r="I305" s="168">
        <v>4679462</v>
      </c>
      <c r="J305" s="168">
        <v>3498329</v>
      </c>
      <c r="K305" s="168">
        <v>3375372</v>
      </c>
      <c r="L305" s="168">
        <v>8177791</v>
      </c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168">
        <v>3237170</v>
      </c>
      <c r="AA305" s="168">
        <v>1651615</v>
      </c>
      <c r="AB305" s="168">
        <v>3237170</v>
      </c>
      <c r="AC305" s="21"/>
      <c r="AD305" s="21"/>
      <c r="AE305" s="21"/>
      <c r="AF305" s="21"/>
      <c r="AG305" s="21"/>
      <c r="AH305" s="21"/>
      <c r="AI305" s="21"/>
      <c r="AJ305" s="21"/>
      <c r="AK305" s="21"/>
      <c r="AL305" s="168">
        <v>4838</v>
      </c>
      <c r="AM305" s="168">
        <v>6300</v>
      </c>
      <c r="AN305" s="168">
        <v>4838</v>
      </c>
      <c r="AO305" s="21"/>
      <c r="AP305" s="21"/>
      <c r="AQ305" s="21"/>
      <c r="AR305" s="21"/>
      <c r="AS305" s="21"/>
      <c r="AT305" s="21"/>
      <c r="AU305" s="21"/>
      <c r="AV305" s="168">
        <v>59626242</v>
      </c>
      <c r="AW305" s="168">
        <v>61322109</v>
      </c>
      <c r="AX305" s="168">
        <v>79346698</v>
      </c>
      <c r="AY305" s="21"/>
      <c r="AZ305" s="168">
        <v>428933</v>
      </c>
      <c r="BA305" s="168">
        <v>360440</v>
      </c>
      <c r="BB305" s="168">
        <v>428933</v>
      </c>
      <c r="BC305" s="168">
        <v>1321</v>
      </c>
      <c r="BD305" s="168">
        <v>740610</v>
      </c>
      <c r="BE305" s="168">
        <v>592972</v>
      </c>
      <c r="BF305" s="168">
        <v>741931</v>
      </c>
      <c r="BG305" s="168">
        <v>276990</v>
      </c>
      <c r="BH305" s="168">
        <v>28752</v>
      </c>
      <c r="BI305" s="168">
        <v>49566</v>
      </c>
      <c r="BJ305" s="168">
        <v>305742</v>
      </c>
      <c r="BK305" s="168">
        <v>2907045</v>
      </c>
      <c r="BL305" s="168">
        <v>9746572</v>
      </c>
      <c r="BM305" s="168">
        <v>9841114</v>
      </c>
      <c r="BN305" s="168">
        <v>12653617</v>
      </c>
      <c r="BO305" s="21"/>
      <c r="BP305" s="168">
        <v>89165</v>
      </c>
      <c r="BQ305" s="168">
        <v>89165</v>
      </c>
      <c r="BR305" s="168">
        <v>89165</v>
      </c>
      <c r="BS305" s="21"/>
      <c r="BT305" s="21"/>
      <c r="BU305" s="21"/>
      <c r="BV305" s="21"/>
      <c r="BW305" s="21"/>
      <c r="BX305" s="168">
        <v>1713041</v>
      </c>
      <c r="BY305" s="168">
        <v>2422147</v>
      </c>
      <c r="BZ305" s="168">
        <v>1713041</v>
      </c>
      <c r="CA305" s="21"/>
      <c r="CB305" s="21"/>
      <c r="CC305" s="21"/>
      <c r="CD305" s="21"/>
      <c r="CE305" s="21"/>
      <c r="CF305" s="21"/>
      <c r="CG305" s="21"/>
      <c r="CH305" s="21"/>
      <c r="CI305" s="21"/>
      <c r="CJ305" s="21"/>
      <c r="CK305" s="21"/>
      <c r="CL305" s="21"/>
      <c r="CM305" s="21"/>
      <c r="CN305" s="21"/>
      <c r="CO305" s="21"/>
      <c r="CP305" s="21"/>
      <c r="CQ305" s="168">
        <v>372774</v>
      </c>
      <c r="CR305" s="168">
        <v>372774</v>
      </c>
      <c r="CS305" s="168">
        <v>372774</v>
      </c>
      <c r="CT305" s="21"/>
      <c r="CU305" s="21"/>
      <c r="CV305" s="21"/>
      <c r="CW305" s="21"/>
      <c r="CX305" s="21"/>
      <c r="CY305" s="21"/>
      <c r="CZ305" s="21"/>
      <c r="DA305" s="21"/>
      <c r="DB305" s="21"/>
      <c r="DC305" s="168">
        <v>486682</v>
      </c>
      <c r="DD305" s="168">
        <v>495360</v>
      </c>
      <c r="DE305" s="168">
        <v>486682</v>
      </c>
      <c r="DF305" s="168">
        <v>6534894</v>
      </c>
      <c r="DG305" s="168">
        <v>5010088</v>
      </c>
      <c r="DH305" s="168">
        <v>5427190</v>
      </c>
      <c r="DI305" s="168">
        <v>11544982</v>
      </c>
      <c r="DJ305" s="168">
        <v>163237</v>
      </c>
      <c r="DK305" s="168">
        <v>11902632</v>
      </c>
      <c r="DL305" s="168">
        <v>11588208</v>
      </c>
      <c r="DM305" s="168">
        <v>12065869</v>
      </c>
      <c r="DN305" s="21"/>
      <c r="DO305" s="168">
        <v>23546</v>
      </c>
      <c r="DP305" s="168">
        <v>35067</v>
      </c>
      <c r="DQ305" s="168">
        <v>23546</v>
      </c>
      <c r="DR305" s="21"/>
      <c r="DS305" s="168">
        <v>194636</v>
      </c>
      <c r="DT305" s="168">
        <v>95224</v>
      </c>
      <c r="DU305" s="168">
        <v>194636</v>
      </c>
      <c r="DV305" s="21"/>
      <c r="DW305" s="168">
        <v>214843</v>
      </c>
      <c r="DX305" s="168">
        <v>241237</v>
      </c>
      <c r="DY305" s="168">
        <v>214843</v>
      </c>
      <c r="DZ305" s="21"/>
      <c r="EA305" s="21"/>
      <c r="EB305" s="21"/>
      <c r="EC305" s="21"/>
      <c r="ED305" s="21"/>
      <c r="EE305" s="21"/>
      <c r="EF305" s="21"/>
      <c r="EG305" s="21"/>
      <c r="EH305" s="21"/>
      <c r="EI305" s="21"/>
      <c r="EJ305" s="21"/>
      <c r="EK305" s="168">
        <v>14503771</v>
      </c>
      <c r="EL305" s="168">
        <v>27093360</v>
      </c>
      <c r="EM305" s="168">
        <v>26721434</v>
      </c>
      <c r="EN305" s="168">
        <v>41597131</v>
      </c>
      <c r="EO305" s="168">
        <v>167116</v>
      </c>
      <c r="EP305" s="168">
        <v>26791370</v>
      </c>
      <c r="EQ305" s="168">
        <v>28378038</v>
      </c>
      <c r="ER305" s="168">
        <v>26958486</v>
      </c>
      <c r="ES305" s="168">
        <v>19720456</v>
      </c>
      <c r="ET305" s="168">
        <v>59626242</v>
      </c>
      <c r="EU305" s="168">
        <v>61322109</v>
      </c>
      <c r="EV305" s="168">
        <v>79346698</v>
      </c>
      <c r="EW305" s="168">
        <v>21358</v>
      </c>
      <c r="EX305" s="168">
        <v>3502773</v>
      </c>
      <c r="EY305" s="168">
        <v>2957781</v>
      </c>
      <c r="EZ305" s="168">
        <v>3524131</v>
      </c>
      <c r="FA305" s="21"/>
      <c r="FB305" s="21"/>
      <c r="FC305" s="21"/>
      <c r="FD305" s="21"/>
      <c r="FE305" s="21"/>
      <c r="FF305" s="168">
        <v>5765879</v>
      </c>
      <c r="FG305" s="168">
        <v>8238084</v>
      </c>
      <c r="FH305" s="168">
        <v>5765879</v>
      </c>
      <c r="FI305" s="168">
        <v>-105252</v>
      </c>
      <c r="FJ305" s="168">
        <v>-214421</v>
      </c>
      <c r="FK305" s="21"/>
      <c r="FL305" s="21"/>
      <c r="FM305" s="168">
        <v>93701</v>
      </c>
      <c r="FN305" s="168">
        <v>378551</v>
      </c>
      <c r="FO305" s="168">
        <v>58506</v>
      </c>
      <c r="FP305" s="168">
        <v>373530</v>
      </c>
      <c r="FQ305" s="168">
        <v>481125</v>
      </c>
      <c r="FR305" s="168">
        <v>481125</v>
      </c>
      <c r="FS305" s="168">
        <v>128427</v>
      </c>
      <c r="FT305" s="168">
        <v>135763</v>
      </c>
      <c r="FU305" s="168">
        <v>-24594</v>
      </c>
      <c r="FV305" s="168">
        <v>-93479</v>
      </c>
      <c r="FW305" s="168">
        <v>620243</v>
      </c>
      <c r="FX305" s="168">
        <v>898213</v>
      </c>
      <c r="FY305" s="168">
        <v>-14358</v>
      </c>
      <c r="FZ305" s="168">
        <v>-25518</v>
      </c>
      <c r="GA305" s="21"/>
      <c r="GB305" s="21"/>
      <c r="GC305" s="168">
        <v>111102</v>
      </c>
      <c r="GD305" s="168">
        <v>352901</v>
      </c>
      <c r="GE305" s="168">
        <v>64280</v>
      </c>
      <c r="GF305" s="168">
        <v>13680</v>
      </c>
      <c r="GG305" s="21"/>
      <c r="GH305" s="21"/>
      <c r="GI305" s="21"/>
      <c r="GJ305" s="21"/>
      <c r="GK305" s="21"/>
      <c r="GL305" s="168">
        <v>306842</v>
      </c>
      <c r="GM305" s="168">
        <v>2605654</v>
      </c>
      <c r="GN305" s="168">
        <v>2759653</v>
      </c>
      <c r="GO305" s="21"/>
      <c r="GP305" s="21"/>
      <c r="GQ305" s="21"/>
      <c r="GR305" s="21"/>
      <c r="GS305" s="21"/>
      <c r="GT305" s="21"/>
      <c r="GU305" s="168">
        <v>280634</v>
      </c>
      <c r="GV305" s="168">
        <v>887844</v>
      </c>
      <c r="GW305" s="168">
        <v>175382</v>
      </c>
      <c r="GX305" s="168">
        <v>673423</v>
      </c>
      <c r="GY305" s="168">
        <v>114782377</v>
      </c>
      <c r="GZ305" s="168">
        <v>117587498</v>
      </c>
      <c r="HA305" s="168">
        <v>328703</v>
      </c>
      <c r="HB305" s="168">
        <v>404488</v>
      </c>
      <c r="HC305" s="168">
        <v>11096672</v>
      </c>
      <c r="HD305" s="168">
        <v>11163501</v>
      </c>
      <c r="HE305" s="168">
        <v>33941</v>
      </c>
      <c r="HF305" s="168">
        <v>9866</v>
      </c>
      <c r="HG305" s="168">
        <v>197465</v>
      </c>
      <c r="HH305" s="168">
        <v>248424</v>
      </c>
      <c r="HI305" s="168">
        <v>43384</v>
      </c>
      <c r="HJ305" s="168">
        <v>9172</v>
      </c>
      <c r="HK305" s="21"/>
      <c r="HL305" s="21"/>
      <c r="HM305" s="168">
        <v>41</v>
      </c>
      <c r="HN305" s="21"/>
      <c r="HO305" s="168">
        <v>4205673</v>
      </c>
      <c r="HP305" s="168">
        <v>4094545</v>
      </c>
      <c r="HQ305" s="21"/>
      <c r="HR305" s="21"/>
      <c r="HS305" s="21"/>
      <c r="HT305" s="21"/>
      <c r="HU305" s="168">
        <v>2340779</v>
      </c>
      <c r="HV305" s="168">
        <v>2079226</v>
      </c>
      <c r="HW305" s="21"/>
      <c r="HX305" s="21"/>
      <c r="HY305" s="168">
        <v>77333</v>
      </c>
      <c r="HZ305" s="168">
        <v>82720</v>
      </c>
      <c r="IA305" s="168">
        <v>163237</v>
      </c>
      <c r="IB305" s="168">
        <v>14047</v>
      </c>
      <c r="IC305" s="168">
        <v>84022</v>
      </c>
      <c r="ID305" s="21"/>
      <c r="IE305" s="168">
        <v>2507631</v>
      </c>
      <c r="IF305" s="168">
        <v>2532496</v>
      </c>
      <c r="IG305" s="168">
        <v>253375</v>
      </c>
      <c r="IH305" s="168">
        <v>304703</v>
      </c>
      <c r="II305" s="21"/>
      <c r="IJ305" s="21"/>
      <c r="IK305" s="21"/>
      <c r="IL305" s="21"/>
      <c r="IM305" s="21"/>
      <c r="IN305" s="21"/>
      <c r="IO305" s="168">
        <v>26549</v>
      </c>
      <c r="IP305" s="168">
        <v>11741</v>
      </c>
      <c r="IQ305" s="168">
        <v>301</v>
      </c>
      <c r="IR305" s="168">
        <v>4289</v>
      </c>
      <c r="IS305" s="21"/>
      <c r="IT305" s="21"/>
      <c r="IU305" s="168">
        <v>3776411</v>
      </c>
      <c r="IV305" s="168">
        <v>4232966</v>
      </c>
      <c r="IW305" s="168">
        <v>3889534</v>
      </c>
      <c r="IX305" s="168">
        <v>4273215</v>
      </c>
      <c r="IY305" s="168">
        <v>-113123</v>
      </c>
      <c r="IZ305" s="168">
        <v>-40249</v>
      </c>
      <c r="JA305" s="168">
        <v>356463</v>
      </c>
      <c r="JB305" s="168">
        <v>219247</v>
      </c>
      <c r="JC305" s="21"/>
      <c r="JD305" s="21"/>
      <c r="JE305" s="168">
        <v>12188353</v>
      </c>
      <c r="JF305" s="168">
        <v>12069650</v>
      </c>
      <c r="JG305" s="168">
        <v>86131</v>
      </c>
      <c r="JH305" s="168">
        <v>92104</v>
      </c>
      <c r="JI305" s="168">
        <v>147393077</v>
      </c>
      <c r="JJ305" s="168">
        <v>149122375</v>
      </c>
      <c r="JK305" s="168">
        <v>337438</v>
      </c>
      <c r="JL305" s="168">
        <v>304703</v>
      </c>
      <c r="JM305" s="168">
        <v>485978</v>
      </c>
      <c r="JN305" s="168">
        <v>320523</v>
      </c>
      <c r="JO305" s="168">
        <v>224315</v>
      </c>
      <c r="JP305" s="168">
        <v>264454</v>
      </c>
      <c r="JQ305" s="168">
        <v>-343143</v>
      </c>
      <c r="JR305" s="168">
        <v>-916567</v>
      </c>
      <c r="JS305" s="168">
        <v>11521</v>
      </c>
      <c r="JT305" s="168">
        <v>905</v>
      </c>
      <c r="JU305" s="21"/>
      <c r="JV305" s="21"/>
      <c r="JW305" s="168">
        <v>150796633</v>
      </c>
      <c r="JX305" s="168">
        <v>153075067</v>
      </c>
      <c r="JY305" s="21"/>
      <c r="JZ305" s="21"/>
      <c r="KA305" s="168">
        <v>2941332</v>
      </c>
      <c r="KB305" s="168">
        <v>2320891</v>
      </c>
      <c r="KC305" s="21"/>
      <c r="KD305" s="21"/>
      <c r="KE305" s="168">
        <v>5671657</v>
      </c>
      <c r="KF305" s="168">
        <v>4709742</v>
      </c>
      <c r="KG305" s="21"/>
      <c r="KH305" s="21"/>
      <c r="KI305" s="168">
        <v>142183644</v>
      </c>
      <c r="KJ305" s="168">
        <v>146044434</v>
      </c>
      <c r="KK305" s="21"/>
      <c r="KL305" s="21"/>
      <c r="KM305" s="21"/>
      <c r="KN305" s="21"/>
      <c r="KO305" s="21"/>
      <c r="KP305" s="21"/>
      <c r="KQ305" s="168">
        <v>1317417</v>
      </c>
      <c r="KR305" s="168">
        <v>1111765</v>
      </c>
      <c r="KS305" s="21"/>
      <c r="KT305" s="21"/>
      <c r="KU305" s="168">
        <v>13770292</v>
      </c>
      <c r="KV305" s="168">
        <v>11745179</v>
      </c>
      <c r="KW305" s="21"/>
      <c r="KX305" s="21"/>
      <c r="KY305" s="168">
        <v>448102</v>
      </c>
      <c r="KZ305" s="168">
        <v>482692</v>
      </c>
      <c r="LA305" s="168">
        <v>1721760</v>
      </c>
      <c r="LB305" s="168">
        <v>1721760</v>
      </c>
      <c r="LC305" s="21"/>
      <c r="LD305" s="21"/>
      <c r="LE305" s="21"/>
      <c r="LF305" s="21"/>
      <c r="LG305" s="21"/>
      <c r="LH305" s="21"/>
      <c r="LI305" s="168">
        <v>6230697</v>
      </c>
      <c r="LJ305" s="168">
        <v>6017193</v>
      </c>
      <c r="LK305" s="168">
        <v>12983705</v>
      </c>
      <c r="LL305" s="168">
        <v>13210037</v>
      </c>
      <c r="LM305" s="168">
        <v>63973</v>
      </c>
      <c r="LN305" s="168">
        <v>77867</v>
      </c>
      <c r="LO305" s="21"/>
      <c r="LP305" s="21"/>
      <c r="LQ305" s="21"/>
      <c r="LR305" s="21"/>
      <c r="LS305" s="21"/>
      <c r="LT305" s="21"/>
      <c r="LU305" s="21"/>
      <c r="LV305" s="21"/>
      <c r="LW305" s="21"/>
      <c r="LX305" s="21"/>
      <c r="LY305" s="21"/>
      <c r="LZ305" s="21"/>
      <c r="MA305" s="168">
        <v>14022010</v>
      </c>
      <c r="MB305" s="168">
        <v>16880872</v>
      </c>
      <c r="MC305" s="168">
        <v>692065</v>
      </c>
      <c r="MD305" s="168">
        <v>2107265</v>
      </c>
      <c r="ME305" s="21"/>
      <c r="MF305" s="21"/>
      <c r="MG305" s="21"/>
      <c r="MH305" s="21"/>
      <c r="MI305" s="21"/>
      <c r="MJ305" s="21"/>
      <c r="MK305" s="21"/>
      <c r="ML305" s="21"/>
      <c r="MM305" s="168">
        <v>234922</v>
      </c>
      <c r="MN305" s="168">
        <v>80621</v>
      </c>
      <c r="MO305" s="168">
        <v>276878</v>
      </c>
      <c r="MP305" s="168">
        <v>199545</v>
      </c>
      <c r="MQ305" s="168">
        <v>483643</v>
      </c>
      <c r="MR305" s="168">
        <v>413019</v>
      </c>
      <c r="MS305" s="21"/>
      <c r="MT305" s="21"/>
      <c r="MU305" s="21"/>
      <c r="MV305" s="21"/>
      <c r="MW305" s="168">
        <v>172176</v>
      </c>
      <c r="MX305" s="168">
        <v>172176</v>
      </c>
      <c r="MY305" s="21"/>
      <c r="MZ305" s="21"/>
      <c r="NA305" s="21"/>
      <c r="NB305" s="21"/>
      <c r="NC305" s="168">
        <v>2605654</v>
      </c>
      <c r="ND305" s="168">
        <v>2759653</v>
      </c>
      <c r="NE305" s="21"/>
      <c r="NF305" s="21"/>
      <c r="NG305" s="168">
        <v>22863881</v>
      </c>
      <c r="NH305" s="168">
        <v>20733225</v>
      </c>
      <c r="NI305" s="21"/>
      <c r="NJ305" s="21"/>
      <c r="NK305" s="21"/>
      <c r="NL305" s="21"/>
      <c r="NM305" s="168">
        <v>35992891</v>
      </c>
      <c r="NN305" s="168">
        <v>39968312</v>
      </c>
      <c r="NO305" s="168">
        <v>59626242</v>
      </c>
      <c r="NP305" s="168">
        <v>61322109</v>
      </c>
      <c r="NQ305" s="168" t="s">
        <v>1348</v>
      </c>
      <c r="NR305" s="168" t="s">
        <v>769</v>
      </c>
      <c r="NS305" s="168" t="s">
        <v>770</v>
      </c>
      <c r="NT305" s="168" t="s">
        <v>771</v>
      </c>
      <c r="NU305" s="168">
        <v>3405</v>
      </c>
      <c r="NV305" s="168" t="s">
        <v>2104</v>
      </c>
      <c r="NW305" s="168" t="s">
        <v>28</v>
      </c>
      <c r="NX305" s="168" t="s">
        <v>25</v>
      </c>
      <c r="NY305" s="169">
        <v>42766</v>
      </c>
      <c r="NZ305" s="169">
        <v>42400</v>
      </c>
      <c r="OA305" s="169">
        <v>42971</v>
      </c>
      <c r="OB305" s="168" t="s">
        <v>1349</v>
      </c>
      <c r="OC305" s="168">
        <v>12</v>
      </c>
      <c r="OD305" s="168" t="s">
        <v>2105</v>
      </c>
      <c r="OE305" s="168" t="s">
        <v>2190</v>
      </c>
      <c r="OF305" s="168" t="s">
        <v>2481</v>
      </c>
      <c r="OG305" s="168" t="s">
        <v>1979</v>
      </c>
      <c r="OH305" s="168" t="s">
        <v>800</v>
      </c>
      <c r="OI305" s="168" t="s">
        <v>766</v>
      </c>
      <c r="OJ305" s="168" t="s">
        <v>3240</v>
      </c>
      <c r="OK305" s="168" t="s">
        <v>767</v>
      </c>
    </row>
    <row r="306" spans="1:401" x14ac:dyDescent="0.2">
      <c r="A306" s="170" t="str">
        <f>Liste[[#This Row],[Siren]]</f>
        <v>799344627</v>
      </c>
      <c r="B306" s="198" t="str">
        <f>Liste[[#This Row],[Dénomination]]&amp;" - comptes "&amp;YEAR(Liste[[#This Row],[Date de cloture de l''exercice]])</f>
        <v>LOMA-DIS - comptes 2017</v>
      </c>
      <c r="C306" s="21"/>
      <c r="D306" s="21"/>
      <c r="E306" s="21"/>
      <c r="F306" s="168">
        <v>2226643</v>
      </c>
      <c r="G306" s="168">
        <v>2124590</v>
      </c>
      <c r="H306" s="168">
        <v>2226643</v>
      </c>
      <c r="I306" s="168">
        <v>4813121</v>
      </c>
      <c r="J306" s="168">
        <v>1281516</v>
      </c>
      <c r="K306" s="168">
        <v>1592572</v>
      </c>
      <c r="L306" s="168">
        <v>6094637</v>
      </c>
      <c r="M306" s="21"/>
      <c r="N306" s="168">
        <v>609</v>
      </c>
      <c r="O306" s="168">
        <v>624</v>
      </c>
      <c r="P306" s="168">
        <v>609</v>
      </c>
      <c r="Q306" s="21"/>
      <c r="R306" s="21"/>
      <c r="S306" s="21"/>
      <c r="T306" s="21"/>
      <c r="U306" s="21"/>
      <c r="V306" s="21"/>
      <c r="W306" s="21"/>
      <c r="X306" s="21"/>
      <c r="Y306" s="21"/>
      <c r="Z306" s="168">
        <v>1399547</v>
      </c>
      <c r="AA306" s="168">
        <v>1353791</v>
      </c>
      <c r="AB306" s="168">
        <v>1399547</v>
      </c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168">
        <v>19995</v>
      </c>
      <c r="AT306" s="168">
        <v>19995</v>
      </c>
      <c r="AU306" s="168">
        <v>19995</v>
      </c>
      <c r="AV306" s="168">
        <v>12123</v>
      </c>
      <c r="AW306" s="168">
        <v>13173</v>
      </c>
      <c r="AX306" s="168">
        <v>12123</v>
      </c>
      <c r="AY306" s="21"/>
      <c r="AZ306" s="168">
        <v>552887</v>
      </c>
      <c r="BA306" s="168">
        <v>592041</v>
      </c>
      <c r="BB306" s="168">
        <v>552887</v>
      </c>
      <c r="BC306" s="168">
        <v>23033</v>
      </c>
      <c r="BD306" s="168">
        <v>289780</v>
      </c>
      <c r="BE306" s="168">
        <v>200666</v>
      </c>
      <c r="BF306" s="168">
        <v>312813</v>
      </c>
      <c r="BG306" s="168">
        <v>97166</v>
      </c>
      <c r="BH306" s="168">
        <v>1414</v>
      </c>
      <c r="BI306" s="168">
        <v>3782</v>
      </c>
      <c r="BJ306" s="168">
        <v>98580</v>
      </c>
      <c r="BK306" s="168">
        <v>2678350</v>
      </c>
      <c r="BL306" s="168">
        <v>16871650</v>
      </c>
      <c r="BM306" s="168">
        <v>17764434</v>
      </c>
      <c r="BN306" s="168">
        <v>19550000</v>
      </c>
      <c r="BO306" s="21"/>
      <c r="BP306" s="21"/>
      <c r="BQ306" s="21"/>
      <c r="BR306" s="21"/>
      <c r="BS306" s="21"/>
      <c r="BT306" s="21"/>
      <c r="BU306" s="21"/>
      <c r="BV306" s="21"/>
      <c r="BW306" s="21"/>
      <c r="BX306" s="168">
        <v>288570</v>
      </c>
      <c r="BY306" s="168">
        <v>455181</v>
      </c>
      <c r="BZ306" s="168">
        <v>288570</v>
      </c>
      <c r="CA306" s="21"/>
      <c r="CB306" s="21"/>
      <c r="CC306" s="21"/>
      <c r="CD306" s="168">
        <v>1577380</v>
      </c>
      <c r="CE306" s="168">
        <v>8938503</v>
      </c>
      <c r="CF306" s="168">
        <v>9464289</v>
      </c>
      <c r="CG306" s="168">
        <v>10515883</v>
      </c>
      <c r="CH306" s="21"/>
      <c r="CI306" s="21"/>
      <c r="CJ306" s="21"/>
      <c r="CK306" s="21"/>
      <c r="CL306" s="21"/>
      <c r="CM306" s="21"/>
      <c r="CN306" s="21"/>
      <c r="CO306" s="21"/>
      <c r="CP306" s="21"/>
      <c r="CQ306" s="21"/>
      <c r="CR306" s="168">
        <v>8</v>
      </c>
      <c r="CS306" s="21"/>
      <c r="CT306" s="21"/>
      <c r="CU306" s="21"/>
      <c r="CV306" s="21"/>
      <c r="CW306" s="21"/>
      <c r="CX306" s="21"/>
      <c r="CY306" s="21"/>
      <c r="CZ306" s="21"/>
      <c r="DA306" s="21"/>
      <c r="DB306" s="21"/>
      <c r="DC306" s="21"/>
      <c r="DD306" s="21"/>
      <c r="DE306" s="21"/>
      <c r="DF306" s="168">
        <v>1384107</v>
      </c>
      <c r="DG306" s="168">
        <v>238047</v>
      </c>
      <c r="DH306" s="168">
        <v>279238</v>
      </c>
      <c r="DI306" s="168">
        <v>1622154</v>
      </c>
      <c r="DJ306" s="168">
        <v>8279</v>
      </c>
      <c r="DK306" s="168">
        <v>2898983</v>
      </c>
      <c r="DL306" s="168">
        <v>2779636</v>
      </c>
      <c r="DM306" s="168">
        <v>2907262</v>
      </c>
      <c r="DN306" s="21"/>
      <c r="DO306" s="168">
        <v>15428</v>
      </c>
      <c r="DP306" s="168">
        <v>25600</v>
      </c>
      <c r="DQ306" s="168">
        <v>15428</v>
      </c>
      <c r="DR306" s="21"/>
      <c r="DS306" s="21"/>
      <c r="DT306" s="21"/>
      <c r="DU306" s="21"/>
      <c r="DV306" s="21"/>
      <c r="DW306" s="21"/>
      <c r="DX306" s="21"/>
      <c r="DY306" s="21"/>
      <c r="DZ306" s="21"/>
      <c r="EA306" s="21"/>
      <c r="EB306" s="21"/>
      <c r="EC306" s="21"/>
      <c r="ED306" s="21"/>
      <c r="EE306" s="21"/>
      <c r="EF306" s="21"/>
      <c r="EG306" s="21"/>
      <c r="EH306" s="21"/>
      <c r="EI306" s="21"/>
      <c r="EJ306" s="21"/>
      <c r="EK306" s="168">
        <v>8972744</v>
      </c>
      <c r="EL306" s="168">
        <v>23248576</v>
      </c>
      <c r="EM306" s="168">
        <v>24450242</v>
      </c>
      <c r="EN306" s="168">
        <v>32221320</v>
      </c>
      <c r="EO306" s="168">
        <v>31312</v>
      </c>
      <c r="EP306" s="168">
        <v>6272291</v>
      </c>
      <c r="EQ306" s="168">
        <v>6177714</v>
      </c>
      <c r="ER306" s="168">
        <v>6303603</v>
      </c>
      <c r="ES306" s="168">
        <v>10581436</v>
      </c>
      <c r="ET306" s="168">
        <v>38491488</v>
      </c>
      <c r="EU306" s="168">
        <v>40125413</v>
      </c>
      <c r="EV306" s="168">
        <v>49072924</v>
      </c>
      <c r="EW306" s="21"/>
      <c r="EX306" s="168">
        <v>3450000</v>
      </c>
      <c r="EY306" s="168">
        <v>3450000</v>
      </c>
      <c r="EZ306" s="168">
        <v>3450000</v>
      </c>
      <c r="FA306" s="21"/>
      <c r="FB306" s="21"/>
      <c r="FC306" s="21"/>
      <c r="FD306" s="21"/>
      <c r="FE306" s="21"/>
      <c r="FF306" s="21"/>
      <c r="FG306" s="21"/>
      <c r="FH306" s="21"/>
      <c r="FI306" s="168">
        <v>-1389</v>
      </c>
      <c r="FJ306" s="168">
        <v>-13651</v>
      </c>
      <c r="FK306" s="21"/>
      <c r="FL306" s="21"/>
      <c r="FM306" s="168">
        <v>3247</v>
      </c>
      <c r="FN306" s="168">
        <v>129326</v>
      </c>
      <c r="FO306" s="168">
        <v>3893</v>
      </c>
      <c r="FP306" s="168">
        <v>492277</v>
      </c>
      <c r="FQ306" s="21"/>
      <c r="FR306" s="21"/>
      <c r="FS306" s="21"/>
      <c r="FT306" s="21"/>
      <c r="FU306" s="168">
        <v>-56360</v>
      </c>
      <c r="FV306" s="168">
        <v>-37255</v>
      </c>
      <c r="FW306" s="168">
        <v>219360</v>
      </c>
      <c r="FX306" s="168">
        <v>186364</v>
      </c>
      <c r="FY306" s="21"/>
      <c r="FZ306" s="21"/>
      <c r="GA306" s="21"/>
      <c r="GB306" s="21"/>
      <c r="GC306" s="168">
        <v>5751</v>
      </c>
      <c r="GD306" s="168">
        <v>7567</v>
      </c>
      <c r="GE306" s="21"/>
      <c r="GF306" s="168">
        <v>491146</v>
      </c>
      <c r="GG306" s="21"/>
      <c r="GH306" s="21"/>
      <c r="GI306" s="21"/>
      <c r="GJ306" s="21"/>
      <c r="GK306" s="21"/>
      <c r="GL306" s="168">
        <v>109239</v>
      </c>
      <c r="GM306" s="21"/>
      <c r="GN306" s="21"/>
      <c r="GO306" s="21"/>
      <c r="GP306" s="21"/>
      <c r="GQ306" s="21"/>
      <c r="GR306" s="21"/>
      <c r="GS306" s="21"/>
      <c r="GT306" s="21"/>
      <c r="GU306" s="168">
        <v>7140</v>
      </c>
      <c r="GV306" s="168">
        <v>621603</v>
      </c>
      <c r="GW306" s="168">
        <v>5751</v>
      </c>
      <c r="GX306" s="168">
        <v>607952</v>
      </c>
      <c r="GY306" s="168">
        <v>36863404</v>
      </c>
      <c r="GZ306" s="168">
        <v>35676822</v>
      </c>
      <c r="HA306" s="168">
        <v>87965</v>
      </c>
      <c r="HB306" s="168">
        <v>115177</v>
      </c>
      <c r="HC306" s="168">
        <v>4276871</v>
      </c>
      <c r="HD306" s="168">
        <v>3548173</v>
      </c>
      <c r="HE306" s="168">
        <v>88379</v>
      </c>
      <c r="HF306" s="168">
        <v>132279</v>
      </c>
      <c r="HG306" s="168">
        <v>1350</v>
      </c>
      <c r="HH306" s="168">
        <v>1862</v>
      </c>
      <c r="HI306" s="168">
        <v>86332</v>
      </c>
      <c r="HJ306" s="168">
        <v>65326</v>
      </c>
      <c r="HK306" s="21"/>
      <c r="HL306" s="21"/>
      <c r="HM306" s="21"/>
      <c r="HN306" s="21"/>
      <c r="HO306" s="168">
        <v>1488404</v>
      </c>
      <c r="HP306" s="168">
        <v>1583079</v>
      </c>
      <c r="HQ306" s="21"/>
      <c r="HR306" s="21"/>
      <c r="HS306" s="21"/>
      <c r="HT306" s="21"/>
      <c r="HU306" s="168">
        <v>1442467</v>
      </c>
      <c r="HV306" s="168">
        <v>1455422</v>
      </c>
      <c r="HW306" s="21"/>
      <c r="HX306" s="21"/>
      <c r="HY306" s="168">
        <v>82336</v>
      </c>
      <c r="HZ306" s="168">
        <v>15607</v>
      </c>
      <c r="IA306" s="168">
        <v>29645</v>
      </c>
      <c r="IB306" s="168">
        <v>5231</v>
      </c>
      <c r="IC306" s="21"/>
      <c r="ID306" s="21"/>
      <c r="IE306" s="168">
        <v>960067</v>
      </c>
      <c r="IF306" s="168">
        <v>911129</v>
      </c>
      <c r="IG306" s="168">
        <v>360206</v>
      </c>
      <c r="IH306" s="168">
        <v>416734</v>
      </c>
      <c r="II306" s="21"/>
      <c r="IJ306" s="21"/>
      <c r="IK306" s="21"/>
      <c r="IL306" s="21"/>
      <c r="IM306" s="21"/>
      <c r="IN306" s="21"/>
      <c r="IO306" s="21"/>
      <c r="IP306" s="21"/>
      <c r="IQ306" s="21"/>
      <c r="IR306" s="21"/>
      <c r="IS306" s="21"/>
      <c r="IT306" s="21"/>
      <c r="IU306" s="168">
        <v>1000424</v>
      </c>
      <c r="IV306" s="168">
        <v>944412</v>
      </c>
      <c r="IW306" s="168">
        <v>1359280</v>
      </c>
      <c r="IX306" s="168">
        <v>1359581</v>
      </c>
      <c r="IY306" s="168">
        <v>-358856</v>
      </c>
      <c r="IZ306" s="168">
        <v>-414872</v>
      </c>
      <c r="JA306" s="168">
        <v>58618</v>
      </c>
      <c r="JB306" s="168">
        <v>50533</v>
      </c>
      <c r="JC306" s="21"/>
      <c r="JD306" s="21"/>
      <c r="JE306" s="168">
        <v>3988759</v>
      </c>
      <c r="JF306" s="168">
        <v>3930746</v>
      </c>
      <c r="JG306" s="168">
        <v>18344</v>
      </c>
      <c r="JH306" s="21"/>
      <c r="JI306" s="168">
        <v>49196074</v>
      </c>
      <c r="JJ306" s="168">
        <v>47326811</v>
      </c>
      <c r="JK306" s="168">
        <v>360206</v>
      </c>
      <c r="JL306" s="168">
        <v>416734</v>
      </c>
      <c r="JM306" s="168">
        <v>163294</v>
      </c>
      <c r="JN306" s="168">
        <v>115859</v>
      </c>
      <c r="JO306" s="168">
        <v>1350</v>
      </c>
      <c r="JP306" s="168">
        <v>1862</v>
      </c>
      <c r="JQ306" s="168">
        <v>-122395</v>
      </c>
      <c r="JR306" s="168">
        <v>-46105</v>
      </c>
      <c r="JS306" s="168">
        <v>10172</v>
      </c>
      <c r="JT306" s="168">
        <v>-749</v>
      </c>
      <c r="JU306" s="21"/>
      <c r="JV306" s="21"/>
      <c r="JW306" s="168">
        <v>50392060</v>
      </c>
      <c r="JX306" s="168">
        <v>48570533</v>
      </c>
      <c r="JY306" s="21"/>
      <c r="JZ306" s="21"/>
      <c r="KA306" s="168">
        <v>3207086</v>
      </c>
      <c r="KB306" s="168">
        <v>3468933</v>
      </c>
      <c r="KC306" s="21"/>
      <c r="KD306" s="21"/>
      <c r="KE306" s="168">
        <v>1934784</v>
      </c>
      <c r="KF306" s="168">
        <v>1766459</v>
      </c>
      <c r="KG306" s="21"/>
      <c r="KH306" s="21"/>
      <c r="KI306" s="168">
        <v>45250190</v>
      </c>
      <c r="KJ306" s="168">
        <v>43335141</v>
      </c>
      <c r="KK306" s="21"/>
      <c r="KL306" s="21"/>
      <c r="KM306" s="21"/>
      <c r="KN306" s="21"/>
      <c r="KO306" s="21"/>
      <c r="KP306" s="21"/>
      <c r="KQ306" s="168">
        <v>44387</v>
      </c>
      <c r="KR306" s="168">
        <v>85292</v>
      </c>
      <c r="KS306" s="21"/>
      <c r="KT306" s="21"/>
      <c r="KU306" s="21"/>
      <c r="KV306" s="21"/>
      <c r="KW306" s="21"/>
      <c r="KX306" s="21"/>
      <c r="KY306" s="168">
        <v>37468</v>
      </c>
      <c r="KZ306" s="168">
        <v>76444</v>
      </c>
      <c r="LA306" s="168">
        <v>40000</v>
      </c>
      <c r="LB306" s="168">
        <v>40000</v>
      </c>
      <c r="LC306" s="21"/>
      <c r="LD306" s="21"/>
      <c r="LE306" s="21"/>
      <c r="LF306" s="21"/>
      <c r="LG306" s="21"/>
      <c r="LH306" s="21"/>
      <c r="LI306" s="168">
        <v>1385365</v>
      </c>
      <c r="LJ306" s="168">
        <v>1455210</v>
      </c>
      <c r="LK306" s="168">
        <v>4030059</v>
      </c>
      <c r="LL306" s="168">
        <v>4246516</v>
      </c>
      <c r="LM306" s="168">
        <v>441</v>
      </c>
      <c r="LN306" s="168">
        <v>24649</v>
      </c>
      <c r="LO306" s="21"/>
      <c r="LP306" s="21"/>
      <c r="LQ306" s="21"/>
      <c r="LR306" s="21"/>
      <c r="LS306" s="21"/>
      <c r="LT306" s="21"/>
      <c r="LU306" s="21"/>
      <c r="LV306" s="21"/>
      <c r="LW306" s="21"/>
      <c r="LX306" s="21"/>
      <c r="LY306" s="21"/>
      <c r="LZ306" s="21"/>
      <c r="MA306" s="168">
        <v>22050484</v>
      </c>
      <c r="MB306" s="168">
        <v>23836712</v>
      </c>
      <c r="MC306" s="168">
        <v>128200</v>
      </c>
      <c r="MD306" s="168">
        <v>128200</v>
      </c>
      <c r="ME306" s="21"/>
      <c r="MF306" s="21"/>
      <c r="MG306" s="21"/>
      <c r="MH306" s="21"/>
      <c r="MI306" s="21"/>
      <c r="MJ306" s="21"/>
      <c r="MK306" s="21"/>
      <c r="ML306" s="21"/>
      <c r="MM306" s="168">
        <v>81345</v>
      </c>
      <c r="MN306" s="168">
        <v>94053</v>
      </c>
      <c r="MO306" s="168">
        <v>303786</v>
      </c>
      <c r="MP306" s="168">
        <v>221450</v>
      </c>
      <c r="MQ306" s="168">
        <v>20000</v>
      </c>
      <c r="MR306" s="168">
        <v>20000</v>
      </c>
      <c r="MS306" s="21"/>
      <c r="MT306" s="21"/>
      <c r="MU306" s="21"/>
      <c r="MV306" s="21"/>
      <c r="MW306" s="21"/>
      <c r="MX306" s="21"/>
      <c r="MY306" s="21"/>
      <c r="MZ306" s="21"/>
      <c r="NA306" s="21"/>
      <c r="NB306" s="21"/>
      <c r="NC306" s="168">
        <v>309750</v>
      </c>
      <c r="ND306" s="168">
        <v>255387</v>
      </c>
      <c r="NE306" s="21"/>
      <c r="NF306" s="21"/>
      <c r="NG306" s="168">
        <v>595398</v>
      </c>
      <c r="NH306" s="168">
        <v>285647</v>
      </c>
      <c r="NI306" s="21"/>
      <c r="NJ306" s="21"/>
      <c r="NK306" s="21"/>
      <c r="NL306" s="21"/>
      <c r="NM306" s="21"/>
      <c r="NN306" s="21"/>
      <c r="NO306" s="168">
        <v>38491488</v>
      </c>
      <c r="NP306" s="168">
        <v>40125413</v>
      </c>
      <c r="NQ306" s="168" t="s">
        <v>1042</v>
      </c>
      <c r="NR306" s="168" t="s">
        <v>769</v>
      </c>
      <c r="NS306" s="168" t="s">
        <v>770</v>
      </c>
      <c r="NT306" s="168" t="s">
        <v>771</v>
      </c>
      <c r="NU306" s="168">
        <v>9201</v>
      </c>
      <c r="NV306" s="168" t="s">
        <v>2104</v>
      </c>
      <c r="NW306" s="168" t="s">
        <v>28</v>
      </c>
      <c r="NX306" s="168" t="s">
        <v>25</v>
      </c>
      <c r="NY306" s="169">
        <v>42766</v>
      </c>
      <c r="NZ306" s="169">
        <v>42400</v>
      </c>
      <c r="OA306" s="169">
        <v>42950</v>
      </c>
      <c r="OB306" s="168" t="s">
        <v>1205</v>
      </c>
      <c r="OC306" s="168">
        <v>12</v>
      </c>
      <c r="OD306" s="168" t="s">
        <v>2105</v>
      </c>
      <c r="OE306" s="168" t="s">
        <v>2370</v>
      </c>
      <c r="OF306" s="168" t="s">
        <v>2371</v>
      </c>
      <c r="OG306" s="168" t="s">
        <v>1922</v>
      </c>
      <c r="OH306" s="168" t="s">
        <v>777</v>
      </c>
      <c r="OI306" s="168" t="s">
        <v>766</v>
      </c>
      <c r="OJ306" s="168" t="s">
        <v>3240</v>
      </c>
      <c r="OK306" s="168" t="s">
        <v>767</v>
      </c>
    </row>
    <row r="307" spans="1:401" x14ac:dyDescent="0.2">
      <c r="A307" s="170" t="str">
        <f>Liste[[#This Row],[Siren]]</f>
        <v>453551335</v>
      </c>
      <c r="B307" s="198" t="str">
        <f>Liste[[#This Row],[Dénomination]]&amp;" - comptes "&amp;YEAR(Liste[[#This Row],[Date de cloture de l''exercice]])</f>
        <v>FRANALIS - comptes 2017</v>
      </c>
      <c r="C307" s="21"/>
      <c r="D307" s="21"/>
      <c r="E307" s="21"/>
      <c r="F307" s="168">
        <v>985663</v>
      </c>
      <c r="G307" s="168">
        <v>622300</v>
      </c>
      <c r="H307" s="168">
        <v>985663</v>
      </c>
      <c r="I307" s="168">
        <v>591173</v>
      </c>
      <c r="J307" s="168">
        <v>402318</v>
      </c>
      <c r="K307" s="168">
        <v>185675</v>
      </c>
      <c r="L307" s="168">
        <v>993491</v>
      </c>
      <c r="M307" s="21"/>
      <c r="N307" s="168">
        <v>91702</v>
      </c>
      <c r="O307" s="168">
        <v>90955</v>
      </c>
      <c r="P307" s="168">
        <v>91702</v>
      </c>
      <c r="Q307" s="21"/>
      <c r="R307" s="21"/>
      <c r="S307" s="21"/>
      <c r="T307" s="21"/>
      <c r="U307" s="21"/>
      <c r="V307" s="168">
        <v>554562</v>
      </c>
      <c r="W307" s="168">
        <v>553251</v>
      </c>
      <c r="X307" s="168">
        <v>554562</v>
      </c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168">
        <v>165920</v>
      </c>
      <c r="BA307" s="168">
        <v>168619</v>
      </c>
      <c r="BB307" s="168">
        <v>165920</v>
      </c>
      <c r="BC307" s="168">
        <v>37852</v>
      </c>
      <c r="BD307" s="168">
        <v>126630</v>
      </c>
      <c r="BE307" s="168">
        <v>147465</v>
      </c>
      <c r="BF307" s="168">
        <v>164482</v>
      </c>
      <c r="BG307" s="168">
        <v>33610</v>
      </c>
      <c r="BH307" s="168">
        <v>4320</v>
      </c>
      <c r="BI307" s="168">
        <v>9910</v>
      </c>
      <c r="BJ307" s="168">
        <v>37930</v>
      </c>
      <c r="BK307" s="168">
        <v>8071287</v>
      </c>
      <c r="BL307" s="168">
        <v>1635270</v>
      </c>
      <c r="BM307" s="168">
        <v>2078362</v>
      </c>
      <c r="BN307" s="168">
        <v>9706557</v>
      </c>
      <c r="BO307" s="21"/>
      <c r="BP307" s="21"/>
      <c r="BQ307" s="21"/>
      <c r="BR307" s="21"/>
      <c r="BS307" s="21"/>
      <c r="BT307" s="21"/>
      <c r="BU307" s="21"/>
      <c r="BV307" s="21"/>
      <c r="BW307" s="21"/>
      <c r="BX307" s="168">
        <v>1028607</v>
      </c>
      <c r="BY307" s="168">
        <v>1620798</v>
      </c>
      <c r="BZ307" s="168">
        <v>1028607</v>
      </c>
      <c r="CA307" s="21"/>
      <c r="CB307" s="21"/>
      <c r="CC307" s="21"/>
      <c r="CD307" s="168">
        <v>3301850</v>
      </c>
      <c r="CE307" s="168">
        <v>9855303</v>
      </c>
      <c r="CF307" s="168">
        <v>9855303</v>
      </c>
      <c r="CG307" s="168">
        <v>13157153</v>
      </c>
      <c r="CH307" s="21"/>
      <c r="CI307" s="21"/>
      <c r="CJ307" s="21"/>
      <c r="CK307" s="21"/>
      <c r="CL307" s="21"/>
      <c r="CM307" s="21"/>
      <c r="CN307" s="21"/>
      <c r="CO307" s="21"/>
      <c r="CP307" s="21"/>
      <c r="CQ307" s="21"/>
      <c r="CR307" s="168">
        <v>773</v>
      </c>
      <c r="CS307" s="21"/>
      <c r="CT307" s="21"/>
      <c r="CU307" s="21"/>
      <c r="CV307" s="21"/>
      <c r="CW307" s="21"/>
      <c r="CX307" s="21"/>
      <c r="CY307" s="21"/>
      <c r="CZ307" s="21"/>
      <c r="DA307" s="21"/>
      <c r="DB307" s="21"/>
      <c r="DC307" s="168">
        <v>143604</v>
      </c>
      <c r="DD307" s="168">
        <v>176645</v>
      </c>
      <c r="DE307" s="168">
        <v>143604</v>
      </c>
      <c r="DF307" s="168">
        <v>2297379</v>
      </c>
      <c r="DG307" s="168">
        <v>987604</v>
      </c>
      <c r="DH307" s="168">
        <v>556301</v>
      </c>
      <c r="DI307" s="168">
        <v>3284983</v>
      </c>
      <c r="DJ307" s="21"/>
      <c r="DK307" s="168">
        <v>2852166</v>
      </c>
      <c r="DL307" s="168">
        <v>2742330</v>
      </c>
      <c r="DM307" s="168">
        <v>2852166</v>
      </c>
      <c r="DN307" s="21"/>
      <c r="DO307" s="21"/>
      <c r="DP307" s="21"/>
      <c r="DQ307" s="21"/>
      <c r="DR307" s="21"/>
      <c r="DS307" s="21"/>
      <c r="DT307" s="21"/>
      <c r="DU307" s="21"/>
      <c r="DV307" s="21"/>
      <c r="DW307" s="21"/>
      <c r="DX307" s="21"/>
      <c r="DY307" s="21"/>
      <c r="DZ307" s="21"/>
      <c r="EA307" s="21"/>
      <c r="EB307" s="21"/>
      <c r="EC307" s="21"/>
      <c r="ED307" s="21"/>
      <c r="EE307" s="21"/>
      <c r="EF307" s="21"/>
      <c r="EG307" s="21"/>
      <c r="EH307" s="21"/>
      <c r="EI307" s="21"/>
      <c r="EJ307" s="21"/>
      <c r="EK307" s="168">
        <v>14535857</v>
      </c>
      <c r="EL307" s="168">
        <v>14455532</v>
      </c>
      <c r="EM307" s="168">
        <v>14010482</v>
      </c>
      <c r="EN307" s="168">
        <v>28991389</v>
      </c>
      <c r="EO307" s="168">
        <v>37852</v>
      </c>
      <c r="EP307" s="168">
        <v>5891704</v>
      </c>
      <c r="EQ307" s="168">
        <v>6083142</v>
      </c>
      <c r="ER307" s="168">
        <v>5929556</v>
      </c>
      <c r="ES307" s="168">
        <v>14573709</v>
      </c>
      <c r="ET307" s="168">
        <v>20347236</v>
      </c>
      <c r="EU307" s="168">
        <v>20093624</v>
      </c>
      <c r="EV307" s="168">
        <v>34920945</v>
      </c>
      <c r="EW307" s="168">
        <v>240558</v>
      </c>
      <c r="EX307" s="168">
        <v>780849</v>
      </c>
      <c r="EY307" s="168">
        <v>503307</v>
      </c>
      <c r="EZ307" s="168">
        <v>1021407</v>
      </c>
      <c r="FA307" s="21"/>
      <c r="FB307" s="21"/>
      <c r="FC307" s="21"/>
      <c r="FD307" s="21"/>
      <c r="FE307" s="21"/>
      <c r="FF307" s="168">
        <v>655270</v>
      </c>
      <c r="FG307" s="168">
        <v>680934</v>
      </c>
      <c r="FH307" s="168">
        <v>655270</v>
      </c>
      <c r="FI307" s="168">
        <v>62143</v>
      </c>
      <c r="FJ307" s="168">
        <v>-7223</v>
      </c>
      <c r="FK307" s="21"/>
      <c r="FL307" s="21"/>
      <c r="FM307" s="168">
        <v>24280</v>
      </c>
      <c r="FN307" s="168">
        <v>12969</v>
      </c>
      <c r="FO307" s="168">
        <v>61048</v>
      </c>
      <c r="FP307" s="168">
        <v>25344</v>
      </c>
      <c r="FQ307" s="21"/>
      <c r="FR307" s="168">
        <v>663013</v>
      </c>
      <c r="FS307" s="21"/>
      <c r="FT307" s="21"/>
      <c r="FU307" s="168">
        <v>23248</v>
      </c>
      <c r="FV307" s="168">
        <v>-5249</v>
      </c>
      <c r="FW307" s="168">
        <v>290977</v>
      </c>
      <c r="FX307" s="168">
        <v>-480214248</v>
      </c>
      <c r="FY307" s="168">
        <v>25749</v>
      </c>
      <c r="FZ307" s="168">
        <v>18944</v>
      </c>
      <c r="GA307" s="21"/>
      <c r="GB307" s="21"/>
      <c r="GC307" s="168">
        <v>10771</v>
      </c>
      <c r="GD307" s="168">
        <v>15982</v>
      </c>
      <c r="GE307" s="168">
        <v>136700</v>
      </c>
      <c r="GF307" s="168">
        <v>15108</v>
      </c>
      <c r="GG307" s="21"/>
      <c r="GH307" s="21"/>
      <c r="GI307" s="21"/>
      <c r="GJ307" s="21"/>
      <c r="GK307" s="21"/>
      <c r="GL307" s="21"/>
      <c r="GM307" s="168">
        <v>890132</v>
      </c>
      <c r="GN307" s="168">
        <v>548429</v>
      </c>
      <c r="GO307" s="168">
        <v>889246</v>
      </c>
      <c r="GP307" s="168">
        <v>121245</v>
      </c>
      <c r="GQ307" s="168">
        <v>886</v>
      </c>
      <c r="GR307" s="168">
        <v>-1008</v>
      </c>
      <c r="GS307" s="168">
        <v>864383</v>
      </c>
      <c r="GT307" s="168">
        <v>529485</v>
      </c>
      <c r="GU307" s="168">
        <v>85328</v>
      </c>
      <c r="GV307" s="168">
        <v>38313</v>
      </c>
      <c r="GW307" s="168">
        <v>147471</v>
      </c>
      <c r="GX307" s="168">
        <v>31090</v>
      </c>
      <c r="GY307" s="21"/>
      <c r="GZ307" s="21"/>
      <c r="HA307" s="168">
        <v>37452595</v>
      </c>
      <c r="HB307" s="168">
        <v>37071720</v>
      </c>
      <c r="HC307" s="168">
        <v>4256409</v>
      </c>
      <c r="HD307" s="168">
        <v>3950455</v>
      </c>
      <c r="HE307" s="168">
        <v>38543</v>
      </c>
      <c r="HF307" s="168">
        <v>42415</v>
      </c>
      <c r="HG307" s="168">
        <v>6060</v>
      </c>
      <c r="HH307" s="168">
        <v>4352</v>
      </c>
      <c r="HI307" s="168">
        <v>48666444</v>
      </c>
      <c r="HJ307" s="168">
        <v>48339094</v>
      </c>
      <c r="HK307" s="21"/>
      <c r="HL307" s="21"/>
      <c r="HM307" s="21"/>
      <c r="HN307" s="21"/>
      <c r="HO307" s="168">
        <v>842840</v>
      </c>
      <c r="HP307" s="168">
        <v>762519</v>
      </c>
      <c r="HQ307" s="21"/>
      <c r="HR307" s="21"/>
      <c r="HS307" s="21"/>
      <c r="HT307" s="21"/>
      <c r="HU307" s="21"/>
      <c r="HV307" s="21"/>
      <c r="HW307" s="21"/>
      <c r="HX307" s="21"/>
      <c r="HY307" s="21"/>
      <c r="HZ307" s="21"/>
      <c r="IA307" s="21"/>
      <c r="IB307" s="21"/>
      <c r="IC307" s="21"/>
      <c r="ID307" s="21"/>
      <c r="IE307" s="168">
        <v>524767</v>
      </c>
      <c r="IF307" s="168">
        <v>534782</v>
      </c>
      <c r="IG307" s="168">
        <v>299929</v>
      </c>
      <c r="IH307" s="168">
        <v>345976</v>
      </c>
      <c r="II307" s="21"/>
      <c r="IJ307" s="21"/>
      <c r="IK307" s="21"/>
      <c r="IL307" s="21"/>
      <c r="IM307" s="21"/>
      <c r="IN307" s="21"/>
      <c r="IO307" s="21"/>
      <c r="IP307" s="21"/>
      <c r="IQ307" s="168">
        <v>4325</v>
      </c>
      <c r="IR307" s="168">
        <v>17</v>
      </c>
      <c r="IS307" s="21"/>
      <c r="IT307" s="21"/>
      <c r="IU307" s="168">
        <v>1141328</v>
      </c>
      <c r="IV307" s="168">
        <v>1694639</v>
      </c>
      <c r="IW307" s="168">
        <v>1430872</v>
      </c>
      <c r="IX307" s="168">
        <v>2036246</v>
      </c>
      <c r="IY307" s="168">
        <v>-289544</v>
      </c>
      <c r="IZ307" s="168">
        <v>-341607</v>
      </c>
      <c r="JA307" s="168">
        <v>135235</v>
      </c>
      <c r="JB307" s="168">
        <v>66844</v>
      </c>
      <c r="JC307" s="21"/>
      <c r="JD307" s="21"/>
      <c r="JE307" s="168">
        <v>3206450</v>
      </c>
      <c r="JF307" s="168">
        <v>3021311</v>
      </c>
      <c r="JG307" s="168">
        <v>2923</v>
      </c>
      <c r="JH307" s="21"/>
      <c r="JI307" s="168">
        <v>47235572</v>
      </c>
      <c r="JJ307" s="168">
        <v>46302848</v>
      </c>
      <c r="JK307" s="168">
        <v>299929</v>
      </c>
      <c r="JL307" s="168">
        <v>345976</v>
      </c>
      <c r="JM307" s="21"/>
      <c r="JN307" s="21"/>
      <c r="JO307" s="168">
        <v>10385</v>
      </c>
      <c r="JP307" s="168">
        <v>4369</v>
      </c>
      <c r="JQ307" s="21"/>
      <c r="JR307" s="21"/>
      <c r="JS307" s="168">
        <v>-109836</v>
      </c>
      <c r="JT307" s="168">
        <v>-111411</v>
      </c>
      <c r="JU307" s="21"/>
      <c r="JV307" s="21"/>
      <c r="JW307" s="168">
        <v>48528286</v>
      </c>
      <c r="JX307" s="168">
        <v>48272250</v>
      </c>
      <c r="JY307" s="21"/>
      <c r="JZ307" s="21"/>
      <c r="KA307" s="21"/>
      <c r="KB307" s="21"/>
      <c r="KC307" s="21"/>
      <c r="KD307" s="21"/>
      <c r="KE307" s="21"/>
      <c r="KF307" s="21"/>
      <c r="KG307" s="21"/>
      <c r="KH307" s="21"/>
      <c r="KI307" s="21"/>
      <c r="KJ307" s="21"/>
      <c r="KK307" s="21"/>
      <c r="KL307" s="21"/>
      <c r="KM307" s="21"/>
      <c r="KN307" s="21"/>
      <c r="KO307" s="21"/>
      <c r="KP307" s="21"/>
      <c r="KQ307" s="168">
        <v>250988</v>
      </c>
      <c r="KR307" s="168">
        <v>225098</v>
      </c>
      <c r="KS307" s="21"/>
      <c r="KT307" s="21"/>
      <c r="KU307" s="21"/>
      <c r="KV307" s="21"/>
      <c r="KW307" s="21"/>
      <c r="KX307" s="21"/>
      <c r="KY307" s="21"/>
      <c r="KZ307" s="21"/>
      <c r="LA307" s="168">
        <v>937422</v>
      </c>
      <c r="LB307" s="168">
        <v>937422</v>
      </c>
      <c r="LC307" s="21"/>
      <c r="LD307" s="21"/>
      <c r="LE307" s="21"/>
      <c r="LF307" s="21"/>
      <c r="LG307" s="21"/>
      <c r="LH307" s="21"/>
      <c r="LI307" s="168">
        <v>1382236</v>
      </c>
      <c r="LJ307" s="168">
        <v>1344189</v>
      </c>
      <c r="LK307" s="168">
        <v>3137646</v>
      </c>
      <c r="LL307" s="168">
        <v>3193474</v>
      </c>
      <c r="LM307" s="168">
        <v>7844</v>
      </c>
      <c r="LN307" s="168">
        <v>4177</v>
      </c>
      <c r="LO307" s="21"/>
      <c r="LP307" s="21"/>
      <c r="LQ307" s="21"/>
      <c r="LR307" s="21"/>
      <c r="LS307" s="21"/>
      <c r="LT307" s="21"/>
      <c r="LU307" s="21"/>
      <c r="LV307" s="21"/>
      <c r="LW307" s="21"/>
      <c r="LX307" s="21"/>
      <c r="LY307" s="21"/>
      <c r="LZ307" s="21"/>
      <c r="MA307" s="168">
        <v>10948200</v>
      </c>
      <c r="MB307" s="168">
        <v>11183689</v>
      </c>
      <c r="MC307" s="168">
        <v>388285</v>
      </c>
      <c r="MD307" s="168">
        <v>104057</v>
      </c>
      <c r="ME307" s="21"/>
      <c r="MF307" s="21"/>
      <c r="MG307" s="21"/>
      <c r="MH307" s="21"/>
      <c r="MI307" s="168">
        <v>340006</v>
      </c>
      <c r="MJ307" s="168">
        <v>340006</v>
      </c>
      <c r="MK307" s="21"/>
      <c r="ML307" s="21"/>
      <c r="MM307" s="168">
        <v>28023</v>
      </c>
      <c r="MN307" s="168">
        <v>40466</v>
      </c>
      <c r="MO307" s="21"/>
      <c r="MP307" s="21"/>
      <c r="MQ307" s="21"/>
      <c r="MR307" s="21"/>
      <c r="MS307" s="21"/>
      <c r="MT307" s="21"/>
      <c r="MU307" s="21"/>
      <c r="MV307" s="21"/>
      <c r="MW307" s="21"/>
      <c r="MX307" s="21"/>
      <c r="MY307" s="21"/>
      <c r="MZ307" s="21"/>
      <c r="NA307" s="21"/>
      <c r="NB307" s="21"/>
      <c r="NC307" s="168">
        <v>864383</v>
      </c>
      <c r="ND307" s="168">
        <v>529485</v>
      </c>
      <c r="NE307" s="21"/>
      <c r="NF307" s="21"/>
      <c r="NG307" s="168">
        <v>4522896</v>
      </c>
      <c r="NH307" s="168">
        <v>3658513</v>
      </c>
      <c r="NI307" s="21"/>
      <c r="NJ307" s="21"/>
      <c r="NK307" s="21"/>
      <c r="NL307" s="21"/>
      <c r="NM307" s="168">
        <v>15494002</v>
      </c>
      <c r="NN307" s="168">
        <v>16095150</v>
      </c>
      <c r="NO307" s="168">
        <v>20347236</v>
      </c>
      <c r="NP307" s="168">
        <v>20093624</v>
      </c>
      <c r="NQ307" s="168" t="s">
        <v>1206</v>
      </c>
      <c r="NR307" s="168" t="s">
        <v>769</v>
      </c>
      <c r="NS307" s="168" t="s">
        <v>770</v>
      </c>
      <c r="NT307" s="168" t="s">
        <v>771</v>
      </c>
      <c r="NU307" s="168">
        <v>8701</v>
      </c>
      <c r="NV307" s="168" t="s">
        <v>2104</v>
      </c>
      <c r="NW307" s="168" t="s">
        <v>28</v>
      </c>
      <c r="NX307" s="168" t="s">
        <v>25</v>
      </c>
      <c r="NY307" s="169">
        <v>42766</v>
      </c>
      <c r="NZ307" s="169">
        <v>42400</v>
      </c>
      <c r="OA307" s="169">
        <v>43005</v>
      </c>
      <c r="OB307" s="168" t="s">
        <v>1207</v>
      </c>
      <c r="OC307" s="168">
        <v>12</v>
      </c>
      <c r="OD307" s="168" t="s">
        <v>2105</v>
      </c>
      <c r="OE307" s="168" t="s">
        <v>2350</v>
      </c>
      <c r="OF307" s="168" t="s">
        <v>2372</v>
      </c>
      <c r="OG307" s="168" t="s">
        <v>1923</v>
      </c>
      <c r="OH307" s="168" t="s">
        <v>992</v>
      </c>
      <c r="OI307" s="168" t="s">
        <v>766</v>
      </c>
      <c r="OJ307" s="168" t="s">
        <v>3240</v>
      </c>
      <c r="OK307" s="168" t="s">
        <v>767</v>
      </c>
    </row>
    <row r="308" spans="1:401" x14ac:dyDescent="0.2">
      <c r="A308" s="170" t="str">
        <f>Liste[[#This Row],[Siren]]</f>
        <v>480054196</v>
      </c>
      <c r="B308" s="198" t="str">
        <f>Liste[[#This Row],[Dénomination]]&amp;" - comptes "&amp;YEAR(Liste[[#This Row],[Date de cloture de l''exercice]])</f>
        <v>FIDES - comptes 2017</v>
      </c>
      <c r="C308" s="21"/>
      <c r="D308" s="21"/>
      <c r="E308" s="21"/>
      <c r="F308" s="168">
        <v>1916523</v>
      </c>
      <c r="G308" s="168">
        <v>2484301</v>
      </c>
      <c r="H308" s="168">
        <v>1916523</v>
      </c>
      <c r="I308" s="168">
        <v>954950</v>
      </c>
      <c r="J308" s="168">
        <v>876892</v>
      </c>
      <c r="K308" s="168">
        <v>68223</v>
      </c>
      <c r="L308" s="168">
        <v>1831842</v>
      </c>
      <c r="M308" s="21"/>
      <c r="N308" s="168">
        <v>26201</v>
      </c>
      <c r="O308" s="21"/>
      <c r="P308" s="168">
        <v>26201</v>
      </c>
      <c r="Q308" s="21"/>
      <c r="R308" s="21"/>
      <c r="S308" s="21"/>
      <c r="T308" s="21"/>
      <c r="U308" s="21"/>
      <c r="V308" s="21"/>
      <c r="W308" s="21"/>
      <c r="X308" s="21"/>
      <c r="Y308" s="21"/>
      <c r="Z308" s="168">
        <v>1748119</v>
      </c>
      <c r="AA308" s="168">
        <v>1725203</v>
      </c>
      <c r="AB308" s="168">
        <v>1748119</v>
      </c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168">
        <v>217870</v>
      </c>
      <c r="BA308" s="168">
        <v>216406</v>
      </c>
      <c r="BB308" s="168">
        <v>217870</v>
      </c>
      <c r="BC308" s="168">
        <v>3423</v>
      </c>
      <c r="BD308" s="168">
        <v>401205</v>
      </c>
      <c r="BE308" s="168">
        <v>177099</v>
      </c>
      <c r="BF308" s="168">
        <v>404629</v>
      </c>
      <c r="BG308" s="21"/>
      <c r="BH308" s="21"/>
      <c r="BI308" s="21"/>
      <c r="BJ308" s="21"/>
      <c r="BK308" s="168">
        <v>11355565</v>
      </c>
      <c r="BL308" s="168">
        <v>6109722</v>
      </c>
      <c r="BM308" s="168">
        <v>6262020</v>
      </c>
      <c r="BN308" s="168">
        <v>17465287</v>
      </c>
      <c r="BO308" s="21"/>
      <c r="BP308" s="168">
        <v>41579</v>
      </c>
      <c r="BQ308" s="168">
        <v>1580</v>
      </c>
      <c r="BR308" s="168">
        <v>41579</v>
      </c>
      <c r="BS308" s="21"/>
      <c r="BT308" s="21"/>
      <c r="BU308" s="21"/>
      <c r="BV308" s="21"/>
      <c r="BW308" s="21"/>
      <c r="BX308" s="168">
        <v>452975</v>
      </c>
      <c r="BY308" s="168">
        <v>1488447</v>
      </c>
      <c r="BZ308" s="168">
        <v>452975</v>
      </c>
      <c r="CA308" s="21"/>
      <c r="CB308" s="21"/>
      <c r="CC308" s="21"/>
      <c r="CD308" s="168">
        <v>5550401</v>
      </c>
      <c r="CE308" s="168">
        <v>9664681</v>
      </c>
      <c r="CF308" s="168">
        <v>745967</v>
      </c>
      <c r="CG308" s="168">
        <v>15215082</v>
      </c>
      <c r="CH308" s="21"/>
      <c r="CI308" s="21"/>
      <c r="CJ308" s="21"/>
      <c r="CK308" s="21"/>
      <c r="CL308" s="21"/>
      <c r="CM308" s="21"/>
      <c r="CN308" s="21"/>
      <c r="CO308" s="21"/>
      <c r="CP308" s="21"/>
      <c r="CQ308" s="168">
        <v>157441</v>
      </c>
      <c r="CR308" s="168">
        <v>6719995</v>
      </c>
      <c r="CS308" s="168">
        <v>157441</v>
      </c>
      <c r="CT308" s="21"/>
      <c r="CU308" s="21"/>
      <c r="CV308" s="21"/>
      <c r="CW308" s="21"/>
      <c r="CX308" s="21"/>
      <c r="CY308" s="21"/>
      <c r="CZ308" s="21"/>
      <c r="DA308" s="21"/>
      <c r="DB308" s="21"/>
      <c r="DC308" s="21"/>
      <c r="DD308" s="21"/>
      <c r="DE308" s="21"/>
      <c r="DF308" s="168">
        <v>4339833</v>
      </c>
      <c r="DG308" s="168">
        <v>707538</v>
      </c>
      <c r="DH308" s="168">
        <v>1132743</v>
      </c>
      <c r="DI308" s="168">
        <v>5047371</v>
      </c>
      <c r="DJ308" s="168">
        <v>253412</v>
      </c>
      <c r="DK308" s="168">
        <v>8878729</v>
      </c>
      <c r="DL308" s="168">
        <v>8464449</v>
      </c>
      <c r="DM308" s="168">
        <v>9132142</v>
      </c>
      <c r="DN308" s="21"/>
      <c r="DO308" s="168">
        <v>51225</v>
      </c>
      <c r="DP308" s="168">
        <v>46645</v>
      </c>
      <c r="DQ308" s="168">
        <v>51225</v>
      </c>
      <c r="DR308" s="21"/>
      <c r="DS308" s="21"/>
      <c r="DT308" s="21"/>
      <c r="DU308" s="21"/>
      <c r="DV308" s="21"/>
      <c r="DW308" s="168">
        <v>1097912</v>
      </c>
      <c r="DX308" s="168">
        <v>1066135</v>
      </c>
      <c r="DY308" s="168">
        <v>1097912</v>
      </c>
      <c r="DZ308" s="21"/>
      <c r="EA308" s="21"/>
      <c r="EB308" s="21"/>
      <c r="EC308" s="21"/>
      <c r="ED308" s="21"/>
      <c r="EE308" s="21"/>
      <c r="EF308" s="21"/>
      <c r="EG308" s="21"/>
      <c r="EH308" s="21"/>
      <c r="EI308" s="21"/>
      <c r="EJ308" s="21"/>
      <c r="EK308" s="168">
        <v>22421219</v>
      </c>
      <c r="EL308" s="168">
        <v>21996956</v>
      </c>
      <c r="EM308" s="168">
        <v>19282975</v>
      </c>
      <c r="EN308" s="168">
        <v>44418175</v>
      </c>
      <c r="EO308" s="168">
        <v>256836</v>
      </c>
      <c r="EP308" s="168">
        <v>17031849</v>
      </c>
      <c r="EQ308" s="168">
        <v>17375168</v>
      </c>
      <c r="ER308" s="168">
        <v>17288686</v>
      </c>
      <c r="ES308" s="168">
        <v>22678055</v>
      </c>
      <c r="ET308" s="168">
        <v>39028805</v>
      </c>
      <c r="EU308" s="168">
        <v>36658143</v>
      </c>
      <c r="EV308" s="168">
        <v>61706861</v>
      </c>
      <c r="EW308" s="168">
        <v>4721</v>
      </c>
      <c r="EX308" s="168">
        <v>1557449</v>
      </c>
      <c r="EY308" s="168">
        <v>1547680</v>
      </c>
      <c r="EZ308" s="168">
        <v>1562170</v>
      </c>
      <c r="FA308" s="21"/>
      <c r="FB308" s="21"/>
      <c r="FC308" s="21"/>
      <c r="FD308" s="21"/>
      <c r="FE308" s="21"/>
      <c r="FF308" s="168">
        <v>3388573</v>
      </c>
      <c r="FG308" s="168">
        <v>3080038</v>
      </c>
      <c r="FH308" s="168">
        <v>3388573</v>
      </c>
      <c r="FI308" s="168">
        <v>628768</v>
      </c>
      <c r="FJ308" s="168">
        <v>-24688</v>
      </c>
      <c r="FK308" s="21"/>
      <c r="FL308" s="21"/>
      <c r="FM308" s="168">
        <v>880</v>
      </c>
      <c r="FN308" s="168">
        <v>24694</v>
      </c>
      <c r="FO308" s="168">
        <v>6707</v>
      </c>
      <c r="FP308" s="168">
        <v>5033</v>
      </c>
      <c r="FQ308" s="21"/>
      <c r="FR308" s="21"/>
      <c r="FS308" s="21"/>
      <c r="FT308" s="21"/>
      <c r="FU308" s="168">
        <v>97572</v>
      </c>
      <c r="FV308" s="168">
        <v>-45861</v>
      </c>
      <c r="FW308" s="168">
        <v>654165</v>
      </c>
      <c r="FX308" s="168">
        <v>551394</v>
      </c>
      <c r="FY308" s="168">
        <v>12662</v>
      </c>
      <c r="FZ308" s="168">
        <v>419</v>
      </c>
      <c r="GA308" s="168">
        <v>374527</v>
      </c>
      <c r="GB308" s="168">
        <v>322480</v>
      </c>
      <c r="GC308" s="21"/>
      <c r="GD308" s="168">
        <v>3997</v>
      </c>
      <c r="GE308" s="168">
        <v>636355</v>
      </c>
      <c r="GF308" s="168">
        <v>1042</v>
      </c>
      <c r="GG308" s="21"/>
      <c r="GH308" s="21"/>
      <c r="GI308" s="21"/>
      <c r="GJ308" s="21"/>
      <c r="GK308" s="21"/>
      <c r="GL308" s="21"/>
      <c r="GM308" s="168">
        <v>2175759</v>
      </c>
      <c r="GN308" s="168">
        <v>1814690</v>
      </c>
      <c r="GO308" s="21"/>
      <c r="GP308" s="21"/>
      <c r="GQ308" s="21"/>
      <c r="GR308" s="21"/>
      <c r="GS308" s="168">
        <v>2163097</v>
      </c>
      <c r="GT308" s="168">
        <v>1814271</v>
      </c>
      <c r="GU308" s="168">
        <v>7587</v>
      </c>
      <c r="GV308" s="168">
        <v>29727</v>
      </c>
      <c r="GW308" s="168">
        <v>636355</v>
      </c>
      <c r="GX308" s="168">
        <v>5039</v>
      </c>
      <c r="GY308" s="168">
        <v>74058659</v>
      </c>
      <c r="GZ308" s="168">
        <v>73187852</v>
      </c>
      <c r="HA308" s="168">
        <v>235867</v>
      </c>
      <c r="HB308" s="168">
        <v>220807</v>
      </c>
      <c r="HC308" s="168">
        <v>6083402</v>
      </c>
      <c r="HD308" s="168">
        <v>5795327</v>
      </c>
      <c r="HE308" s="168">
        <v>25796</v>
      </c>
      <c r="HF308" s="168">
        <v>10098</v>
      </c>
      <c r="HG308" s="168">
        <v>74979</v>
      </c>
      <c r="HH308" s="168">
        <v>78605</v>
      </c>
      <c r="HI308" s="168">
        <v>42925</v>
      </c>
      <c r="HJ308" s="168">
        <v>138337</v>
      </c>
      <c r="HK308" s="21"/>
      <c r="HL308" s="21"/>
      <c r="HM308" s="21"/>
      <c r="HN308" s="21"/>
      <c r="HO308" s="168">
        <v>2660280</v>
      </c>
      <c r="HP308" s="168">
        <v>2585789</v>
      </c>
      <c r="HQ308" s="21"/>
      <c r="HR308" s="21"/>
      <c r="HS308" s="21"/>
      <c r="HT308" s="21"/>
      <c r="HU308" s="168">
        <v>2177561</v>
      </c>
      <c r="HV308" s="168">
        <v>1987979</v>
      </c>
      <c r="HW308" s="168">
        <v>125873</v>
      </c>
      <c r="HX308" s="168">
        <v>111288</v>
      </c>
      <c r="HY308" s="168">
        <v>63525</v>
      </c>
      <c r="HZ308" s="168">
        <v>84911</v>
      </c>
      <c r="IA308" s="21"/>
      <c r="IB308" s="21"/>
      <c r="IC308" s="21"/>
      <c r="ID308" s="21"/>
      <c r="IE308" s="168">
        <v>1363389</v>
      </c>
      <c r="IF308" s="168">
        <v>1257760</v>
      </c>
      <c r="IG308" s="168">
        <v>231392</v>
      </c>
      <c r="IH308" s="168">
        <v>258577</v>
      </c>
      <c r="II308" s="21"/>
      <c r="IJ308" s="21"/>
      <c r="IK308" s="21"/>
      <c r="IL308" s="21"/>
      <c r="IM308" s="21"/>
      <c r="IN308" s="21"/>
      <c r="IO308" s="21"/>
      <c r="IP308" s="21"/>
      <c r="IQ308" s="168">
        <v>25189</v>
      </c>
      <c r="IR308" s="168">
        <v>14634</v>
      </c>
      <c r="IS308" s="168">
        <v>6988</v>
      </c>
      <c r="IT308" s="168">
        <v>10580</v>
      </c>
      <c r="IU308" s="168">
        <v>2673254</v>
      </c>
      <c r="IV308" s="168">
        <v>2667391</v>
      </c>
      <c r="IW308" s="168">
        <v>2797489</v>
      </c>
      <c r="IX308" s="168">
        <v>2822149</v>
      </c>
      <c r="IY308" s="168">
        <v>-124235</v>
      </c>
      <c r="IZ308" s="168">
        <v>-154758</v>
      </c>
      <c r="JA308" s="168">
        <v>318809</v>
      </c>
      <c r="JB308" s="168">
        <v>92380</v>
      </c>
      <c r="JC308" s="21"/>
      <c r="JD308" s="21"/>
      <c r="JE308" s="168">
        <v>7497379</v>
      </c>
      <c r="JF308" s="168">
        <v>7462435</v>
      </c>
      <c r="JG308" s="168">
        <v>103573</v>
      </c>
      <c r="JH308" s="168">
        <v>88413</v>
      </c>
      <c r="JI308" s="168">
        <v>19997205</v>
      </c>
      <c r="JJ308" s="168">
        <v>19295587</v>
      </c>
      <c r="JK308" s="168">
        <v>231392</v>
      </c>
      <c r="JL308" s="168">
        <v>258577</v>
      </c>
      <c r="JM308" s="168">
        <v>96645703</v>
      </c>
      <c r="JN308" s="168">
        <v>95365129</v>
      </c>
      <c r="JO308" s="168">
        <v>107156</v>
      </c>
      <c r="JP308" s="168">
        <v>103819</v>
      </c>
      <c r="JQ308" s="168">
        <v>-442718</v>
      </c>
      <c r="JR308" s="168">
        <v>-161710</v>
      </c>
      <c r="JS308" s="168">
        <v>-800</v>
      </c>
      <c r="JT308" s="168">
        <v>444</v>
      </c>
      <c r="JU308" s="21"/>
      <c r="JV308" s="21"/>
      <c r="JW308" s="168">
        <v>96180396</v>
      </c>
      <c r="JX308" s="168">
        <v>95045999</v>
      </c>
      <c r="JY308" s="21"/>
      <c r="JZ308" s="21"/>
      <c r="KA308" s="21"/>
      <c r="KB308" s="21"/>
      <c r="KC308" s="21"/>
      <c r="KD308" s="21"/>
      <c r="KE308" s="21"/>
      <c r="KF308" s="21"/>
      <c r="KG308" s="21"/>
      <c r="KH308" s="21"/>
      <c r="KI308" s="21"/>
      <c r="KJ308" s="21"/>
      <c r="KK308" s="21"/>
      <c r="KL308" s="21"/>
      <c r="KM308" s="21"/>
      <c r="KN308" s="21"/>
      <c r="KO308" s="21"/>
      <c r="KP308" s="21"/>
      <c r="KQ308" s="168">
        <v>1088781</v>
      </c>
      <c r="KR308" s="168">
        <v>956599</v>
      </c>
      <c r="KS308" s="21"/>
      <c r="KT308" s="21"/>
      <c r="KU308" s="21"/>
      <c r="KV308" s="21"/>
      <c r="KW308" s="21"/>
      <c r="KX308" s="21"/>
      <c r="KY308" s="21"/>
      <c r="KZ308" s="21"/>
      <c r="LA308" s="168">
        <v>37000</v>
      </c>
      <c r="LB308" s="168">
        <v>37000</v>
      </c>
      <c r="LC308" s="21"/>
      <c r="LD308" s="21"/>
      <c r="LE308" s="21"/>
      <c r="LF308" s="21"/>
      <c r="LG308" s="21"/>
      <c r="LH308" s="21"/>
      <c r="LI308" s="168">
        <v>4296570</v>
      </c>
      <c r="LJ308" s="168">
        <v>4214455</v>
      </c>
      <c r="LK308" s="168">
        <v>4996238</v>
      </c>
      <c r="LL308" s="168">
        <v>6041145</v>
      </c>
      <c r="LM308" s="168">
        <v>12786</v>
      </c>
      <c r="LN308" s="168">
        <v>27082</v>
      </c>
      <c r="LO308" s="21"/>
      <c r="LP308" s="21"/>
      <c r="LQ308" s="21"/>
      <c r="LR308" s="21"/>
      <c r="LS308" s="21"/>
      <c r="LT308" s="21"/>
      <c r="LU308" s="21"/>
      <c r="LV308" s="21"/>
      <c r="LW308" s="21"/>
      <c r="LX308" s="21"/>
      <c r="LY308" s="21"/>
      <c r="LZ308" s="21"/>
      <c r="MA308" s="168">
        <v>11529552</v>
      </c>
      <c r="MB308" s="168">
        <v>10264924</v>
      </c>
      <c r="MC308" s="168">
        <v>1789796</v>
      </c>
      <c r="MD308" s="168">
        <v>958673</v>
      </c>
      <c r="ME308" s="21"/>
      <c r="MF308" s="21"/>
      <c r="MG308" s="21"/>
      <c r="MH308" s="21"/>
      <c r="MI308" s="21"/>
      <c r="MJ308" s="21"/>
      <c r="MK308" s="21"/>
      <c r="ML308" s="21"/>
      <c r="MM308" s="21"/>
      <c r="MN308" s="21"/>
      <c r="MO308" s="21"/>
      <c r="MP308" s="21"/>
      <c r="MQ308" s="21"/>
      <c r="MR308" s="21"/>
      <c r="MS308" s="21"/>
      <c r="MT308" s="21"/>
      <c r="MU308" s="21"/>
      <c r="MV308" s="21"/>
      <c r="MW308" s="168">
        <v>3700</v>
      </c>
      <c r="MX308" s="21"/>
      <c r="MY308" s="21"/>
      <c r="MZ308" s="21"/>
      <c r="NA308" s="21"/>
      <c r="NB308" s="21"/>
      <c r="NC308" s="168">
        <v>2163097</v>
      </c>
      <c r="ND308" s="168">
        <v>1814271</v>
      </c>
      <c r="NE308" s="21"/>
      <c r="NF308" s="21"/>
      <c r="NG308" s="21"/>
      <c r="NH308" s="21"/>
      <c r="NI308" s="21"/>
      <c r="NJ308" s="21"/>
      <c r="NK308" s="21"/>
      <c r="NL308" s="21"/>
      <c r="NM308" s="168">
        <v>23740850</v>
      </c>
      <c r="NN308" s="168">
        <v>22989158</v>
      </c>
      <c r="NO308" s="168">
        <v>39028805</v>
      </c>
      <c r="NP308" s="168">
        <v>36658143</v>
      </c>
      <c r="NQ308" s="168" t="s">
        <v>1209</v>
      </c>
      <c r="NR308" s="168" t="s">
        <v>769</v>
      </c>
      <c r="NS308" s="168" t="s">
        <v>770</v>
      </c>
      <c r="NT308" s="168" t="s">
        <v>771</v>
      </c>
      <c r="NU308" s="168">
        <v>5601</v>
      </c>
      <c r="NV308" s="168" t="s">
        <v>2104</v>
      </c>
      <c r="NW308" s="168" t="s">
        <v>28</v>
      </c>
      <c r="NX308" s="168" t="s">
        <v>25</v>
      </c>
      <c r="NY308" s="169">
        <v>42766</v>
      </c>
      <c r="NZ308" s="169">
        <v>42400</v>
      </c>
      <c r="OA308" s="169">
        <v>42942</v>
      </c>
      <c r="OB308" s="168" t="s">
        <v>1210</v>
      </c>
      <c r="OC308" s="168">
        <v>12</v>
      </c>
      <c r="OD308" s="168" t="s">
        <v>2105</v>
      </c>
      <c r="OE308" s="168" t="s">
        <v>2205</v>
      </c>
      <c r="OF308" s="168" t="s">
        <v>2374</v>
      </c>
      <c r="OG308" s="168" t="s">
        <v>1924</v>
      </c>
      <c r="OH308" s="168" t="s">
        <v>1031</v>
      </c>
      <c r="OI308" s="168" t="s">
        <v>766</v>
      </c>
      <c r="OJ308" s="168" t="s">
        <v>3240</v>
      </c>
      <c r="OK308" s="168" t="s">
        <v>767</v>
      </c>
    </row>
    <row r="309" spans="1:401" x14ac:dyDescent="0.2">
      <c r="A309" s="170" t="str">
        <f>Liste[[#This Row],[Siren]]</f>
        <v>493482913</v>
      </c>
      <c r="B309" s="198" t="str">
        <f>Liste[[#This Row],[Dénomination]]&amp;" - comptes "&amp;YEAR(Liste[[#This Row],[Date de cloture de l''exercice]])</f>
        <v>FINANCIERE DAINVILLE - comptes 2017</v>
      </c>
      <c r="C309" s="21"/>
      <c r="D309" s="21"/>
      <c r="E309" s="21"/>
      <c r="F309" s="168">
        <v>1329231</v>
      </c>
      <c r="G309" s="168">
        <v>1356822</v>
      </c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168">
        <v>834062</v>
      </c>
      <c r="BE309" s="168">
        <v>800971</v>
      </c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21"/>
      <c r="BT309" s="21"/>
      <c r="BU309" s="21"/>
      <c r="BV309" s="21"/>
      <c r="BW309" s="21"/>
      <c r="BX309" s="168">
        <v>2460022</v>
      </c>
      <c r="BY309" s="168">
        <v>2872573</v>
      </c>
      <c r="BZ309" s="21"/>
      <c r="CA309" s="21"/>
      <c r="CB309" s="21"/>
      <c r="CC309" s="21"/>
      <c r="CD309" s="21"/>
      <c r="CE309" s="168">
        <v>10285264</v>
      </c>
      <c r="CF309" s="168">
        <v>1177897</v>
      </c>
      <c r="CG309" s="21"/>
      <c r="CH309" s="21"/>
      <c r="CI309" s="21"/>
      <c r="CJ309" s="21"/>
      <c r="CK309" s="21"/>
      <c r="CL309" s="21"/>
      <c r="CM309" s="21"/>
      <c r="CN309" s="21"/>
      <c r="CO309" s="21"/>
      <c r="CP309" s="21"/>
      <c r="CQ309" s="21"/>
      <c r="CR309" s="21"/>
      <c r="CS309" s="21"/>
      <c r="CT309" s="21"/>
      <c r="CU309" s="21"/>
      <c r="CV309" s="21"/>
      <c r="CW309" s="21"/>
      <c r="CX309" s="21"/>
      <c r="CY309" s="21"/>
      <c r="CZ309" s="21"/>
      <c r="DA309" s="21"/>
      <c r="DB309" s="21"/>
      <c r="DC309" s="21"/>
      <c r="DD309" s="21"/>
      <c r="DE309" s="21"/>
      <c r="DF309" s="21"/>
      <c r="DG309" s="21"/>
      <c r="DH309" s="21"/>
      <c r="DI309" s="21"/>
      <c r="DJ309" s="21"/>
      <c r="DK309" s="21"/>
      <c r="DL309" s="21"/>
      <c r="DM309" s="21"/>
      <c r="DN309" s="21"/>
      <c r="DO309" s="21"/>
      <c r="DP309" s="21"/>
      <c r="DQ309" s="21"/>
      <c r="DR309" s="21"/>
      <c r="DS309" s="21"/>
      <c r="DT309" s="21"/>
      <c r="DU309" s="21"/>
      <c r="DV309" s="21"/>
      <c r="DW309" s="21"/>
      <c r="DX309" s="21"/>
      <c r="DY309" s="21"/>
      <c r="DZ309" s="21"/>
      <c r="EA309" s="21"/>
      <c r="EB309" s="21"/>
      <c r="EC309" s="21"/>
      <c r="ED309" s="21"/>
      <c r="EE309" s="21"/>
      <c r="EF309" s="21"/>
      <c r="EG309" s="21"/>
      <c r="EH309" s="21"/>
      <c r="EI309" s="21"/>
      <c r="EJ309" s="21"/>
      <c r="EK309" s="21"/>
      <c r="EL309" s="168">
        <v>20528758</v>
      </c>
      <c r="EM309" s="168">
        <v>28764248</v>
      </c>
      <c r="EN309" s="21"/>
      <c r="EO309" s="21"/>
      <c r="EP309" s="168">
        <v>9949064</v>
      </c>
      <c r="EQ309" s="168">
        <v>10141303</v>
      </c>
      <c r="ER309" s="21"/>
      <c r="ES309" s="21"/>
      <c r="ET309" s="168">
        <v>41190470</v>
      </c>
      <c r="EU309" s="168">
        <v>40557622</v>
      </c>
      <c r="EV309" s="21"/>
      <c r="EW309" s="21"/>
      <c r="EX309" s="21"/>
      <c r="EY309" s="21"/>
      <c r="EZ309" s="21"/>
      <c r="FA309" s="21"/>
      <c r="FB309" s="21"/>
      <c r="FC309" s="21"/>
      <c r="FD309" s="21"/>
      <c r="FE309" s="21"/>
      <c r="FF309" s="168">
        <v>23262</v>
      </c>
      <c r="FG309" s="168">
        <v>123601</v>
      </c>
      <c r="FH309" s="21"/>
      <c r="FI309" s="168">
        <v>-33978</v>
      </c>
      <c r="FJ309" s="168">
        <v>-1149</v>
      </c>
      <c r="FK309" s="168">
        <v>1405036</v>
      </c>
      <c r="FL309" s="168">
        <v>1165323</v>
      </c>
      <c r="FM309" s="21"/>
      <c r="FN309" s="21"/>
      <c r="FO309" s="21"/>
      <c r="FP309" s="21"/>
      <c r="FQ309" s="168">
        <v>392633</v>
      </c>
      <c r="FR309" s="168">
        <v>392633</v>
      </c>
      <c r="FS309" s="21"/>
      <c r="FT309" s="21"/>
      <c r="FU309" s="21"/>
      <c r="FV309" s="21"/>
      <c r="FW309" s="168">
        <v>140655</v>
      </c>
      <c r="FX309" s="168">
        <v>150770</v>
      </c>
      <c r="FY309" s="168">
        <v>7279</v>
      </c>
      <c r="FZ309" s="168">
        <v>-5316</v>
      </c>
      <c r="GA309" s="21"/>
      <c r="GB309" s="21"/>
      <c r="GC309" s="21"/>
      <c r="GD309" s="21"/>
      <c r="GE309" s="21"/>
      <c r="GF309" s="21"/>
      <c r="GG309" s="21"/>
      <c r="GH309" s="21"/>
      <c r="GI309" s="21"/>
      <c r="GJ309" s="21"/>
      <c r="GK309" s="21"/>
      <c r="GL309" s="21"/>
      <c r="GM309" s="168">
        <v>1012403</v>
      </c>
      <c r="GN309" s="168">
        <v>772690</v>
      </c>
      <c r="GO309" s="21"/>
      <c r="GP309" s="21"/>
      <c r="GQ309" s="21"/>
      <c r="GR309" s="21"/>
      <c r="GS309" s="168">
        <v>778006</v>
      </c>
      <c r="GT309" s="21"/>
      <c r="GU309" s="168">
        <v>311576</v>
      </c>
      <c r="GV309" s="168">
        <v>18968</v>
      </c>
      <c r="GW309" s="168">
        <v>277598</v>
      </c>
      <c r="GX309" s="168">
        <v>17819</v>
      </c>
      <c r="GY309" s="21"/>
      <c r="GZ309" s="21"/>
      <c r="HA309" s="21"/>
      <c r="HB309" s="21"/>
      <c r="HC309" s="168">
        <v>4514298</v>
      </c>
      <c r="HD309" s="168">
        <v>4196324</v>
      </c>
      <c r="HE309" s="21"/>
      <c r="HF309" s="21"/>
      <c r="HG309" s="21"/>
      <c r="HH309" s="21"/>
      <c r="HI309" s="168">
        <v>499574</v>
      </c>
      <c r="HJ309" s="168">
        <v>417852</v>
      </c>
      <c r="HK309" s="21"/>
      <c r="HL309" s="21"/>
      <c r="HM309" s="21"/>
      <c r="HN309" s="21"/>
      <c r="HO309" s="168">
        <v>1578415</v>
      </c>
      <c r="HP309" s="168">
        <v>1554193</v>
      </c>
      <c r="HQ309" s="21"/>
      <c r="HR309" s="21"/>
      <c r="HS309" s="21"/>
      <c r="HT309" s="21"/>
      <c r="HU309" s="168">
        <v>60995</v>
      </c>
      <c r="HV309" s="168">
        <v>43654</v>
      </c>
      <c r="HW309" s="168">
        <v>291056</v>
      </c>
      <c r="HX309" s="168">
        <v>235931</v>
      </c>
      <c r="HY309" s="21"/>
      <c r="HZ309" s="21"/>
      <c r="IA309" s="21"/>
      <c r="IB309" s="21"/>
      <c r="IC309" s="21"/>
      <c r="ID309" s="21"/>
      <c r="IE309" s="168">
        <v>1370316</v>
      </c>
      <c r="IF309" s="168">
        <v>1282681</v>
      </c>
      <c r="IG309" s="21"/>
      <c r="IH309" s="21"/>
      <c r="II309" s="21"/>
      <c r="IJ309" s="21"/>
      <c r="IK309" s="21"/>
      <c r="IL309" s="21"/>
      <c r="IM309" s="21"/>
      <c r="IN309" s="21"/>
      <c r="IO309" s="21"/>
      <c r="IP309" s="21"/>
      <c r="IQ309" s="21"/>
      <c r="IR309" s="21"/>
      <c r="IS309" s="21"/>
      <c r="IT309" s="21"/>
      <c r="IU309" s="168">
        <v>1579669</v>
      </c>
      <c r="IV309" s="168">
        <v>1317242</v>
      </c>
      <c r="IW309" s="168">
        <v>1827209</v>
      </c>
      <c r="IX309" s="168">
        <v>1610166</v>
      </c>
      <c r="IY309" s="168">
        <v>-247540</v>
      </c>
      <c r="IZ309" s="168">
        <v>-292924</v>
      </c>
      <c r="JA309" s="168">
        <v>286031</v>
      </c>
      <c r="JB309" s="168">
        <v>234561</v>
      </c>
      <c r="JC309" s="21"/>
      <c r="JD309" s="21"/>
      <c r="JE309" s="168">
        <v>8526976</v>
      </c>
      <c r="JF309" s="168">
        <v>8193773</v>
      </c>
      <c r="JG309" s="168">
        <v>64709</v>
      </c>
      <c r="JH309" s="168">
        <v>45421</v>
      </c>
      <c r="JI309" s="168">
        <v>75132035</v>
      </c>
      <c r="JJ309" s="168">
        <v>71854350</v>
      </c>
      <c r="JK309" s="168">
        <v>278546</v>
      </c>
      <c r="JL309" s="168">
        <v>303222</v>
      </c>
      <c r="JM309" s="168">
        <v>76959244</v>
      </c>
      <c r="JN309" s="168">
        <v>73464516</v>
      </c>
      <c r="JO309" s="168">
        <v>31006</v>
      </c>
      <c r="JP309" s="168">
        <v>10298</v>
      </c>
      <c r="JQ309" s="21"/>
      <c r="JR309" s="21"/>
      <c r="JS309" s="21"/>
      <c r="JT309" s="21"/>
      <c r="JU309" s="21"/>
      <c r="JV309" s="21"/>
      <c r="JW309" s="168">
        <v>76108930</v>
      </c>
      <c r="JX309" s="168">
        <v>72766682</v>
      </c>
      <c r="JY309" s="21"/>
      <c r="JZ309" s="21"/>
      <c r="KA309" s="21"/>
      <c r="KB309" s="21"/>
      <c r="KC309" s="21"/>
      <c r="KD309" s="21"/>
      <c r="KE309" s="21"/>
      <c r="KF309" s="21"/>
      <c r="KG309" s="21"/>
      <c r="KH309" s="21"/>
      <c r="KI309" s="168">
        <v>68505708</v>
      </c>
      <c r="KJ309" s="168">
        <v>65269231</v>
      </c>
      <c r="KK309" s="21"/>
      <c r="KL309" s="21"/>
      <c r="KM309" s="21"/>
      <c r="KN309" s="21"/>
      <c r="KO309" s="21"/>
      <c r="KP309" s="21"/>
      <c r="KQ309" s="168">
        <v>691695</v>
      </c>
      <c r="KR309" s="168">
        <v>537411</v>
      </c>
      <c r="KS309" s="21"/>
      <c r="KT309" s="21"/>
      <c r="KU309" s="21"/>
      <c r="KV309" s="21"/>
      <c r="KW309" s="21"/>
      <c r="KX309" s="21"/>
      <c r="KY309" s="21"/>
      <c r="KZ309" s="21"/>
      <c r="LA309" s="168">
        <v>7352650</v>
      </c>
      <c r="LB309" s="168">
        <v>7352650</v>
      </c>
      <c r="LC309" s="21"/>
      <c r="LD309" s="21"/>
      <c r="LE309" s="21"/>
      <c r="LF309" s="21"/>
      <c r="LG309" s="21"/>
      <c r="LH309" s="21"/>
      <c r="LI309" s="168">
        <v>2970680</v>
      </c>
      <c r="LJ309" s="168">
        <v>2835879</v>
      </c>
      <c r="LK309" s="168">
        <v>4731669</v>
      </c>
      <c r="LL309" s="168">
        <v>5513999</v>
      </c>
      <c r="LM309" s="168">
        <v>26056</v>
      </c>
      <c r="LN309" s="168">
        <v>131909</v>
      </c>
      <c r="LO309" s="21"/>
      <c r="LP309" s="21"/>
      <c r="LQ309" s="21"/>
      <c r="LR309" s="21"/>
      <c r="LS309" s="21"/>
      <c r="LT309" s="21"/>
      <c r="LU309" s="21"/>
      <c r="LV309" s="21"/>
      <c r="LW309" s="21"/>
      <c r="LX309" s="21"/>
      <c r="LY309" s="21"/>
      <c r="LZ309" s="21"/>
      <c r="MA309" s="21"/>
      <c r="MB309" s="21"/>
      <c r="MC309" s="168">
        <v>16947075</v>
      </c>
      <c r="MD309" s="168">
        <v>16147204</v>
      </c>
      <c r="ME309" s="21"/>
      <c r="MF309" s="21"/>
      <c r="MG309" s="21"/>
      <c r="MH309" s="21"/>
      <c r="MI309" s="21"/>
      <c r="MJ309" s="21"/>
      <c r="MK309" s="21"/>
      <c r="ML309" s="21"/>
      <c r="MM309" s="21"/>
      <c r="MN309" s="21"/>
      <c r="MO309" s="21"/>
      <c r="MP309" s="21"/>
      <c r="MQ309" s="21"/>
      <c r="MR309" s="21"/>
      <c r="MS309" s="21"/>
      <c r="MT309" s="21"/>
      <c r="MU309" s="21"/>
      <c r="MV309" s="21"/>
      <c r="MW309" s="21"/>
      <c r="MX309" s="21"/>
      <c r="MY309" s="21"/>
      <c r="MZ309" s="21"/>
      <c r="NA309" s="21"/>
      <c r="NB309" s="21"/>
      <c r="NC309" s="168">
        <v>1005124</v>
      </c>
      <c r="ND309" s="168">
        <v>778006</v>
      </c>
      <c r="NE309" s="21"/>
      <c r="NF309" s="21"/>
      <c r="NG309" s="168">
        <v>14936515</v>
      </c>
      <c r="NH309" s="168">
        <v>14291669</v>
      </c>
      <c r="NI309" s="21"/>
      <c r="NJ309" s="21"/>
      <c r="NK309" s="21"/>
      <c r="NL309" s="21"/>
      <c r="NM309" s="168">
        <v>25367175</v>
      </c>
      <c r="NN309" s="168">
        <v>25166402</v>
      </c>
      <c r="NO309" s="168">
        <v>41190470</v>
      </c>
      <c r="NP309" s="168">
        <v>40557622</v>
      </c>
      <c r="NQ309" s="168" t="s">
        <v>1212</v>
      </c>
      <c r="NR309" s="168" t="s">
        <v>769</v>
      </c>
      <c r="NS309" s="168" t="s">
        <v>770</v>
      </c>
      <c r="NT309" s="168" t="s">
        <v>771</v>
      </c>
      <c r="NU309" s="168">
        <v>6201</v>
      </c>
      <c r="NV309" s="168" t="s">
        <v>2104</v>
      </c>
      <c r="NW309" s="168" t="s">
        <v>28</v>
      </c>
      <c r="NX309" s="168" t="s">
        <v>25</v>
      </c>
      <c r="NY309" s="169">
        <v>42766</v>
      </c>
      <c r="NZ309" s="169">
        <v>42400</v>
      </c>
      <c r="OA309" s="169">
        <v>42937</v>
      </c>
      <c r="OB309" s="168" t="s">
        <v>1213</v>
      </c>
      <c r="OC309" s="168">
        <v>12</v>
      </c>
      <c r="OD309" s="168" t="s">
        <v>2105</v>
      </c>
      <c r="OE309" s="168" t="s">
        <v>2375</v>
      </c>
      <c r="OF309" s="168" t="s">
        <v>2376</v>
      </c>
      <c r="OG309" s="168" t="s">
        <v>1925</v>
      </c>
      <c r="OH309" s="168" t="s">
        <v>821</v>
      </c>
      <c r="OI309" s="168" t="s">
        <v>766</v>
      </c>
      <c r="OJ309" s="168" t="s">
        <v>3240</v>
      </c>
      <c r="OK309" s="168" t="s">
        <v>767</v>
      </c>
    </row>
    <row r="310" spans="1:401" x14ac:dyDescent="0.2">
      <c r="A310" s="170" t="str">
        <f>Liste[[#This Row],[Siren]]</f>
        <v>402103907</v>
      </c>
      <c r="B310" s="198" t="str">
        <f>Liste[[#This Row],[Dénomination]]&amp;" - comptes "&amp;YEAR(Liste[[#This Row],[Date de cloture de l''exercice]])</f>
        <v>NEOPOST SA - comptes 2017</v>
      </c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168">
        <v>42400000</v>
      </c>
      <c r="BA310" s="168">
        <v>44400000</v>
      </c>
      <c r="BB310" s="21"/>
      <c r="BC310" s="21"/>
      <c r="BD310" s="168">
        <v>268800000</v>
      </c>
      <c r="BE310" s="168">
        <v>248900000</v>
      </c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21"/>
      <c r="BT310" s="21"/>
      <c r="BU310" s="21"/>
      <c r="BV310" s="21"/>
      <c r="BW310" s="21"/>
      <c r="BX310" s="21"/>
      <c r="BY310" s="21"/>
      <c r="BZ310" s="21"/>
      <c r="CA310" s="21"/>
      <c r="CB310" s="21"/>
      <c r="CC310" s="21"/>
      <c r="CD310" s="21"/>
      <c r="CE310" s="168">
        <v>1120800000</v>
      </c>
      <c r="CF310" s="168">
        <v>1096500000</v>
      </c>
      <c r="CG310" s="21"/>
      <c r="CH310" s="21"/>
      <c r="CI310" s="21"/>
      <c r="CJ310" s="21"/>
      <c r="CK310" s="21"/>
      <c r="CL310" s="21"/>
      <c r="CM310" s="21"/>
      <c r="CN310" s="21"/>
      <c r="CO310" s="21"/>
      <c r="CP310" s="21"/>
      <c r="CQ310" s="21"/>
      <c r="CR310" s="21"/>
      <c r="CS310" s="21"/>
      <c r="CT310" s="21"/>
      <c r="CU310" s="21"/>
      <c r="CV310" s="21"/>
      <c r="CW310" s="21"/>
      <c r="CX310" s="21"/>
      <c r="CY310" s="21"/>
      <c r="CZ310" s="21"/>
      <c r="DA310" s="21"/>
      <c r="DB310" s="21"/>
      <c r="DC310" s="21"/>
      <c r="DD310" s="21"/>
      <c r="DE310" s="21"/>
      <c r="DF310" s="21"/>
      <c r="DG310" s="21"/>
      <c r="DH310" s="21"/>
      <c r="DI310" s="21"/>
      <c r="DJ310" s="21"/>
      <c r="DK310" s="21"/>
      <c r="DL310" s="21"/>
      <c r="DM310" s="21"/>
      <c r="DN310" s="21"/>
      <c r="DO310" s="21"/>
      <c r="DP310" s="21"/>
      <c r="DQ310" s="21"/>
      <c r="DR310" s="21"/>
      <c r="DS310" s="168">
        <v>4700000</v>
      </c>
      <c r="DT310" s="168">
        <v>3800000</v>
      </c>
      <c r="DU310" s="21"/>
      <c r="DV310" s="21"/>
      <c r="DW310" s="21"/>
      <c r="DX310" s="21"/>
      <c r="DY310" s="21"/>
      <c r="DZ310" s="21"/>
      <c r="EA310" s="21"/>
      <c r="EB310" s="21"/>
      <c r="EC310" s="21"/>
      <c r="ED310" s="21"/>
      <c r="EE310" s="21"/>
      <c r="EF310" s="21"/>
      <c r="EG310" s="21"/>
      <c r="EH310" s="21"/>
      <c r="EI310" s="21"/>
      <c r="EJ310" s="21"/>
      <c r="EK310" s="21"/>
      <c r="EL310" s="21"/>
      <c r="EM310" s="21"/>
      <c r="EN310" s="21"/>
      <c r="EO310" s="21"/>
      <c r="EP310" s="21"/>
      <c r="EQ310" s="21"/>
      <c r="ER310" s="21"/>
      <c r="ES310" s="21"/>
      <c r="ET310" s="168">
        <v>2886400000</v>
      </c>
      <c r="EU310" s="168">
        <v>2843300000</v>
      </c>
      <c r="EV310" s="21"/>
      <c r="EW310" s="21"/>
      <c r="EX310" s="21"/>
      <c r="EY310" s="21"/>
      <c r="EZ310" s="21"/>
      <c r="FA310" s="21"/>
      <c r="FB310" s="21"/>
      <c r="FC310" s="21"/>
      <c r="FD310" s="21"/>
      <c r="FE310" s="21"/>
      <c r="FF310" s="21"/>
      <c r="FG310" s="21"/>
      <c r="FH310" s="21"/>
      <c r="FI310" s="21"/>
      <c r="FJ310" s="21"/>
      <c r="FK310" s="21"/>
      <c r="FL310" s="21"/>
      <c r="FM310" s="21"/>
      <c r="FN310" s="21"/>
      <c r="FO310" s="21"/>
      <c r="FP310" s="21"/>
      <c r="FQ310" s="21"/>
      <c r="FR310" s="21"/>
      <c r="FS310" s="21"/>
      <c r="FT310" s="21"/>
      <c r="FU310" s="21"/>
      <c r="FV310" s="21"/>
      <c r="FW310" s="168">
        <v>-37700000</v>
      </c>
      <c r="FX310" s="168">
        <v>-41100000</v>
      </c>
      <c r="FY310" s="21"/>
      <c r="FZ310" s="21"/>
      <c r="GA310" s="21"/>
      <c r="GB310" s="21"/>
      <c r="GC310" s="21"/>
      <c r="GD310" s="21"/>
      <c r="GE310" s="21"/>
      <c r="GF310" s="21"/>
      <c r="GG310" s="21"/>
      <c r="GH310" s="21"/>
      <c r="GI310" s="21"/>
      <c r="GJ310" s="21"/>
      <c r="GK310" s="21"/>
      <c r="GL310" s="21"/>
      <c r="GM310" s="168">
        <v>114000000</v>
      </c>
      <c r="GN310" s="168">
        <v>131400000</v>
      </c>
      <c r="GO310" s="21"/>
      <c r="GP310" s="21"/>
      <c r="GQ310" s="168">
        <v>130000</v>
      </c>
      <c r="GR310" s="168">
        <v>130000</v>
      </c>
      <c r="GS310" s="21"/>
      <c r="GT310" s="21"/>
      <c r="GU310" s="21"/>
      <c r="GV310" s="21"/>
      <c r="GW310" s="21"/>
      <c r="GX310" s="21"/>
      <c r="GY310" s="21"/>
      <c r="GZ310" s="21"/>
      <c r="HA310" s="21"/>
      <c r="HB310" s="21"/>
      <c r="HC310" s="21"/>
      <c r="HD310" s="21"/>
      <c r="HE310" s="21"/>
      <c r="HF310" s="21"/>
      <c r="HG310" s="21"/>
      <c r="HH310" s="21"/>
      <c r="HI310" s="21"/>
      <c r="HJ310" s="21"/>
      <c r="HK310" s="21"/>
      <c r="HL310" s="21"/>
      <c r="HM310" s="21"/>
      <c r="HN310" s="21"/>
      <c r="HO310" s="21"/>
      <c r="HP310" s="21"/>
      <c r="HQ310" s="21"/>
      <c r="HR310" s="21"/>
      <c r="HS310" s="21"/>
      <c r="HT310" s="21"/>
      <c r="HU310" s="21"/>
      <c r="HV310" s="21"/>
      <c r="HW310" s="21"/>
      <c r="HX310" s="21"/>
      <c r="HY310" s="21"/>
      <c r="HZ310" s="21"/>
      <c r="IA310" s="21"/>
      <c r="IB310" s="21"/>
      <c r="IC310" s="21"/>
      <c r="ID310" s="21"/>
      <c r="IE310" s="21"/>
      <c r="IF310" s="21"/>
      <c r="IG310" s="21"/>
      <c r="IH310" s="21"/>
      <c r="II310" s="21"/>
      <c r="IJ310" s="21"/>
      <c r="IK310" s="21"/>
      <c r="IL310" s="21"/>
      <c r="IM310" s="21"/>
      <c r="IN310" s="21"/>
      <c r="IO310" s="21"/>
      <c r="IP310" s="21"/>
      <c r="IQ310" s="21"/>
      <c r="IR310" s="21"/>
      <c r="IS310" s="21"/>
      <c r="IT310" s="21"/>
      <c r="IU310" s="168">
        <v>150400000</v>
      </c>
      <c r="IV310" s="168">
        <v>171200000</v>
      </c>
      <c r="IW310" s="21"/>
      <c r="IX310" s="21"/>
      <c r="IY310" s="21"/>
      <c r="IZ310" s="21"/>
      <c r="JA310" s="21"/>
      <c r="JB310" s="21"/>
      <c r="JC310" s="21"/>
      <c r="JD310" s="21"/>
      <c r="JE310" s="21"/>
      <c r="JF310" s="21"/>
      <c r="JG310" s="21"/>
      <c r="JH310" s="21"/>
      <c r="JI310" s="21"/>
      <c r="JJ310" s="21"/>
      <c r="JK310" s="21"/>
      <c r="JL310" s="21"/>
      <c r="JM310" s="21"/>
      <c r="JN310" s="21"/>
      <c r="JO310" s="21"/>
      <c r="JP310" s="21"/>
      <c r="JQ310" s="21"/>
      <c r="JR310" s="21"/>
      <c r="JS310" s="21"/>
      <c r="JT310" s="21"/>
      <c r="JU310" s="21"/>
      <c r="JV310" s="21"/>
      <c r="JW310" s="168">
        <v>1158700000</v>
      </c>
      <c r="JX310" s="168">
        <v>1190400000</v>
      </c>
      <c r="JY310" s="21"/>
      <c r="JZ310" s="21"/>
      <c r="KA310" s="21"/>
      <c r="KB310" s="21"/>
      <c r="KC310" s="21"/>
      <c r="KD310" s="21"/>
      <c r="KE310" s="21"/>
      <c r="KF310" s="21"/>
      <c r="KG310" s="21"/>
      <c r="KH310" s="21"/>
      <c r="KI310" s="21"/>
      <c r="KJ310" s="21"/>
      <c r="KK310" s="21"/>
      <c r="KL310" s="21"/>
      <c r="KM310" s="21"/>
      <c r="KN310" s="21"/>
      <c r="KO310" s="21"/>
      <c r="KP310" s="21"/>
      <c r="KQ310" s="168">
        <v>228400000</v>
      </c>
      <c r="KR310" s="168">
        <v>236300000</v>
      </c>
      <c r="KS310" s="21"/>
      <c r="KT310" s="21"/>
      <c r="KU310" s="21"/>
      <c r="KV310" s="21"/>
      <c r="KW310" s="21"/>
      <c r="KX310" s="21"/>
      <c r="KY310" s="21"/>
      <c r="KZ310" s="21"/>
      <c r="LA310" s="168">
        <v>52900000</v>
      </c>
      <c r="LB310" s="168">
        <v>64500000</v>
      </c>
      <c r="LC310" s="21"/>
      <c r="LD310" s="21"/>
      <c r="LE310" s="21"/>
      <c r="LF310" s="21"/>
      <c r="LG310" s="21"/>
      <c r="LH310" s="21"/>
      <c r="LI310" s="168">
        <v>50500000</v>
      </c>
      <c r="LJ310" s="168">
        <v>47900000</v>
      </c>
      <c r="LK310" s="168">
        <v>79400000</v>
      </c>
      <c r="LL310" s="168">
        <v>80100000</v>
      </c>
      <c r="LM310" s="21"/>
      <c r="LN310" s="21"/>
      <c r="LO310" s="21"/>
      <c r="LP310" s="21"/>
      <c r="LQ310" s="21"/>
      <c r="LR310" s="21"/>
      <c r="LS310" s="21"/>
      <c r="LT310" s="21"/>
      <c r="LU310" s="168">
        <v>4400000</v>
      </c>
      <c r="LV310" s="168">
        <v>3800000</v>
      </c>
      <c r="LW310" s="21"/>
      <c r="LX310" s="21"/>
      <c r="LY310" s="21"/>
      <c r="LZ310" s="21"/>
      <c r="MA310" s="21"/>
      <c r="MB310" s="21"/>
      <c r="MC310" s="168">
        <v>753600000</v>
      </c>
      <c r="MD310" s="168">
        <v>775800000</v>
      </c>
      <c r="ME310" s="21"/>
      <c r="MF310" s="21"/>
      <c r="MG310" s="168">
        <v>197400000</v>
      </c>
      <c r="MH310" s="168">
        <v>185800000</v>
      </c>
      <c r="MI310" s="168">
        <v>709000000</v>
      </c>
      <c r="MJ310" s="168">
        <v>627100000</v>
      </c>
      <c r="MK310" s="21"/>
      <c r="ML310" s="21"/>
      <c r="MM310" s="168">
        <v>216600000</v>
      </c>
      <c r="MN310" s="168">
        <v>214000000</v>
      </c>
      <c r="MO310" s="21"/>
      <c r="MP310" s="21"/>
      <c r="MQ310" s="21"/>
      <c r="MR310" s="21"/>
      <c r="MS310" s="21"/>
      <c r="MT310" s="21"/>
      <c r="MU310" s="21"/>
      <c r="MV310" s="21"/>
      <c r="MW310" s="21"/>
      <c r="MX310" s="21"/>
      <c r="MY310" s="21"/>
      <c r="MZ310" s="21"/>
      <c r="NA310" s="21"/>
      <c r="NB310" s="21"/>
      <c r="NC310" s="168">
        <v>118200000</v>
      </c>
      <c r="ND310" s="168">
        <v>131400000</v>
      </c>
      <c r="NE310" s="21"/>
      <c r="NF310" s="21"/>
      <c r="NG310" s="168">
        <v>1132000000</v>
      </c>
      <c r="NH310" s="168">
        <v>1064500000</v>
      </c>
      <c r="NI310" s="21"/>
      <c r="NJ310" s="21"/>
      <c r="NK310" s="168">
        <v>7000000</v>
      </c>
      <c r="NL310" s="168">
        <v>4100000</v>
      </c>
      <c r="NM310" s="168">
        <v>1050100000</v>
      </c>
      <c r="NN310" s="168">
        <v>1547900000</v>
      </c>
      <c r="NO310" s="168">
        <v>2886400000</v>
      </c>
      <c r="NP310" s="168">
        <v>2843300000</v>
      </c>
      <c r="NQ310" s="168" t="s">
        <v>1221</v>
      </c>
      <c r="NR310" s="168" t="s">
        <v>797</v>
      </c>
      <c r="NS310" s="168" t="s">
        <v>770</v>
      </c>
      <c r="NT310" s="168" t="s">
        <v>771</v>
      </c>
      <c r="NU310" s="168">
        <v>9201</v>
      </c>
      <c r="NV310" s="168" t="s">
        <v>2104</v>
      </c>
      <c r="NW310" s="168" t="s">
        <v>28</v>
      </c>
      <c r="NX310" s="168" t="s">
        <v>25</v>
      </c>
      <c r="NY310" s="169">
        <v>42766</v>
      </c>
      <c r="NZ310" s="169">
        <v>42400</v>
      </c>
      <c r="OA310" s="169">
        <v>42941</v>
      </c>
      <c r="OB310" s="168" t="s">
        <v>1222</v>
      </c>
      <c r="OC310" s="168">
        <v>12</v>
      </c>
      <c r="OD310" s="168" t="s">
        <v>2105</v>
      </c>
      <c r="OE310" s="168" t="s">
        <v>2267</v>
      </c>
      <c r="OF310" s="168" t="s">
        <v>2384</v>
      </c>
      <c r="OG310" s="168" t="s">
        <v>1928</v>
      </c>
      <c r="OH310" s="168" t="s">
        <v>777</v>
      </c>
      <c r="OI310" s="168" t="s">
        <v>766</v>
      </c>
      <c r="OJ310" s="168" t="s">
        <v>3240</v>
      </c>
      <c r="OK310" s="168" t="s">
        <v>796</v>
      </c>
    </row>
    <row r="311" spans="1:401" x14ac:dyDescent="0.2">
      <c r="A311" s="170" t="str">
        <f>Liste[[#This Row],[Siren]]</f>
        <v>442864518</v>
      </c>
      <c r="B311" s="198" t="str">
        <f>Liste[[#This Row],[Dénomination]]&amp;" - comptes "&amp;YEAR(Liste[[#This Row],[Date de cloture de l''exercice]])</f>
        <v>A.J.F - comptes 2017</v>
      </c>
      <c r="C311" s="21"/>
      <c r="D311" s="21"/>
      <c r="E311" s="21"/>
      <c r="F311" s="168">
        <v>1460855</v>
      </c>
      <c r="G311" s="168">
        <v>1319760</v>
      </c>
      <c r="H311" s="168">
        <v>1460855</v>
      </c>
      <c r="I311" s="168">
        <v>1976263</v>
      </c>
      <c r="J311" s="168">
        <v>812203</v>
      </c>
      <c r="K311" s="168">
        <v>730081</v>
      </c>
      <c r="L311" s="168">
        <v>2788466</v>
      </c>
      <c r="M311" s="168">
        <v>22867</v>
      </c>
      <c r="N311" s="168">
        <v>204</v>
      </c>
      <c r="O311" s="168">
        <v>11204</v>
      </c>
      <c r="P311" s="168">
        <v>23071</v>
      </c>
      <c r="Q311" s="21"/>
      <c r="R311" s="21"/>
      <c r="S311" s="21"/>
      <c r="T311" s="21"/>
      <c r="U311" s="21"/>
      <c r="V311" s="21"/>
      <c r="W311" s="21"/>
      <c r="X311" s="21"/>
      <c r="Y311" s="168">
        <v>4573</v>
      </c>
      <c r="Z311" s="168">
        <v>2001918</v>
      </c>
      <c r="AA311" s="168">
        <v>1978317</v>
      </c>
      <c r="AB311" s="168">
        <v>2006491</v>
      </c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168">
        <v>222293</v>
      </c>
      <c r="BA311" s="168">
        <v>219257</v>
      </c>
      <c r="BB311" s="168">
        <v>222293</v>
      </c>
      <c r="BC311" s="168">
        <v>21514</v>
      </c>
      <c r="BD311" s="168">
        <v>366306</v>
      </c>
      <c r="BE311" s="168">
        <v>366201</v>
      </c>
      <c r="BF311" s="168">
        <v>387820</v>
      </c>
      <c r="BG311" s="168">
        <v>76791</v>
      </c>
      <c r="BH311" s="168">
        <v>13412</v>
      </c>
      <c r="BI311" s="168">
        <v>2877</v>
      </c>
      <c r="BJ311" s="168">
        <v>90203</v>
      </c>
      <c r="BK311" s="168">
        <v>5952230</v>
      </c>
      <c r="BL311" s="168">
        <v>8348233</v>
      </c>
      <c r="BM311" s="168">
        <v>8753491</v>
      </c>
      <c r="BN311" s="168">
        <v>14300463</v>
      </c>
      <c r="BO311" s="21"/>
      <c r="BP311" s="21"/>
      <c r="BQ311" s="21"/>
      <c r="BR311" s="21"/>
      <c r="BS311" s="21"/>
      <c r="BT311" s="21"/>
      <c r="BU311" s="21"/>
      <c r="BV311" s="21"/>
      <c r="BW311" s="21"/>
      <c r="BX311" s="168">
        <v>389205</v>
      </c>
      <c r="BY311" s="168">
        <v>657779</v>
      </c>
      <c r="BZ311" s="168">
        <v>389205</v>
      </c>
      <c r="CA311" s="21"/>
      <c r="CB311" s="21"/>
      <c r="CC311" s="21"/>
      <c r="CD311" s="168">
        <v>8659120</v>
      </c>
      <c r="CE311" s="168">
        <v>135945</v>
      </c>
      <c r="CF311" s="168">
        <v>251208</v>
      </c>
      <c r="CG311" s="168">
        <v>8795065</v>
      </c>
      <c r="CH311" s="21"/>
      <c r="CI311" s="21"/>
      <c r="CJ311" s="21"/>
      <c r="CK311" s="21"/>
      <c r="CL311" s="21"/>
      <c r="CM311" s="21"/>
      <c r="CN311" s="21"/>
      <c r="CO311" s="21"/>
      <c r="CP311" s="168">
        <v>353050</v>
      </c>
      <c r="CQ311" s="168">
        <v>108258</v>
      </c>
      <c r="CR311" s="168">
        <v>128629</v>
      </c>
      <c r="CS311" s="168">
        <v>461308</v>
      </c>
      <c r="CT311" s="21"/>
      <c r="CU311" s="21"/>
      <c r="CV311" s="21"/>
      <c r="CW311" s="21"/>
      <c r="CX311" s="21"/>
      <c r="CY311" s="21"/>
      <c r="CZ311" s="21"/>
      <c r="DA311" s="21"/>
      <c r="DB311" s="21"/>
      <c r="DC311" s="168">
        <v>639919</v>
      </c>
      <c r="DD311" s="21"/>
      <c r="DE311" s="168">
        <v>639919</v>
      </c>
      <c r="DF311" s="168">
        <v>2265034</v>
      </c>
      <c r="DG311" s="168">
        <v>1209021</v>
      </c>
      <c r="DH311" s="168">
        <v>1322013</v>
      </c>
      <c r="DI311" s="168">
        <v>3474055</v>
      </c>
      <c r="DJ311" s="21"/>
      <c r="DK311" s="168">
        <v>4664730</v>
      </c>
      <c r="DL311" s="168">
        <v>4561288</v>
      </c>
      <c r="DM311" s="168">
        <v>4664730</v>
      </c>
      <c r="DN311" s="21"/>
      <c r="DO311" s="168">
        <v>46592</v>
      </c>
      <c r="DP311" s="168">
        <v>40135</v>
      </c>
      <c r="DQ311" s="168">
        <v>46592</v>
      </c>
      <c r="DR311" s="21"/>
      <c r="DS311" s="21"/>
      <c r="DT311" s="21"/>
      <c r="DU311" s="21"/>
      <c r="DV311" s="21"/>
      <c r="DW311" s="168">
        <v>6807</v>
      </c>
      <c r="DX311" s="168">
        <v>6807</v>
      </c>
      <c r="DY311" s="168">
        <v>6807</v>
      </c>
      <c r="DZ311" s="21"/>
      <c r="EA311" s="21"/>
      <c r="EB311" s="21"/>
      <c r="EC311" s="21"/>
      <c r="ED311" s="21"/>
      <c r="EE311" s="21"/>
      <c r="EF311" s="21"/>
      <c r="EG311" s="21"/>
      <c r="EH311" s="21"/>
      <c r="EI311" s="21"/>
      <c r="EJ311" s="21"/>
      <c r="EK311" s="168">
        <v>19383978</v>
      </c>
      <c r="EL311" s="168">
        <v>14669250</v>
      </c>
      <c r="EM311" s="168">
        <v>14417189</v>
      </c>
      <c r="EN311" s="168">
        <v>34053228</v>
      </c>
      <c r="EO311" s="168">
        <v>21514</v>
      </c>
      <c r="EP311" s="168">
        <v>7263829</v>
      </c>
      <c r="EQ311" s="168">
        <v>7276031</v>
      </c>
      <c r="ER311" s="168">
        <v>7285343</v>
      </c>
      <c r="ES311" s="168">
        <v>19405492</v>
      </c>
      <c r="ET311" s="168">
        <v>21933076</v>
      </c>
      <c r="EU311" s="168">
        <v>21693220</v>
      </c>
      <c r="EV311" s="168">
        <v>41338568</v>
      </c>
      <c r="EW311" s="168">
        <v>74050</v>
      </c>
      <c r="EX311" s="168">
        <v>1393330</v>
      </c>
      <c r="EY311" s="168">
        <v>1232562</v>
      </c>
      <c r="EZ311" s="168">
        <v>1467380</v>
      </c>
      <c r="FA311" s="21"/>
      <c r="FB311" s="21"/>
      <c r="FC311" s="21"/>
      <c r="FD311" s="21"/>
      <c r="FE311" s="21"/>
      <c r="FF311" s="168">
        <v>6364</v>
      </c>
      <c r="FG311" s="168">
        <v>6345</v>
      </c>
      <c r="FH311" s="168">
        <v>6364</v>
      </c>
      <c r="FI311" s="168">
        <v>-155736</v>
      </c>
      <c r="FJ311" s="168">
        <v>-82503</v>
      </c>
      <c r="FK311" s="21"/>
      <c r="FL311" s="21"/>
      <c r="FM311" s="168">
        <v>165160</v>
      </c>
      <c r="FN311" s="168">
        <v>130824</v>
      </c>
      <c r="FO311" s="168">
        <v>148601</v>
      </c>
      <c r="FP311" s="168">
        <v>6120</v>
      </c>
      <c r="FQ311" s="168">
        <v>115263</v>
      </c>
      <c r="FR311" s="168">
        <v>115263</v>
      </c>
      <c r="FS311" s="168">
        <v>58067</v>
      </c>
      <c r="FT311" s="168">
        <v>166744</v>
      </c>
      <c r="FU311" s="168">
        <v>-6437</v>
      </c>
      <c r="FV311" s="168">
        <v>12761</v>
      </c>
      <c r="FW311" s="168">
        <v>426156</v>
      </c>
      <c r="FX311" s="168">
        <v>372658</v>
      </c>
      <c r="FY311" s="21"/>
      <c r="FZ311" s="21"/>
      <c r="GA311" s="21"/>
      <c r="GB311" s="21"/>
      <c r="GC311" s="168">
        <v>138668</v>
      </c>
      <c r="GD311" s="168">
        <v>192022</v>
      </c>
      <c r="GE311" s="168">
        <v>52424</v>
      </c>
      <c r="GF311" s="168">
        <v>14163</v>
      </c>
      <c r="GG311" s="21"/>
      <c r="GH311" s="21"/>
      <c r="GI311" s="21"/>
      <c r="GJ311" s="21"/>
      <c r="GK311" s="168">
        <v>25000</v>
      </c>
      <c r="GL311" s="168">
        <v>15000</v>
      </c>
      <c r="GM311" s="168">
        <v>1003403</v>
      </c>
      <c r="GN311" s="168">
        <v>963583</v>
      </c>
      <c r="GO311" s="168">
        <v>1118666</v>
      </c>
      <c r="GP311" s="168">
        <v>1078846</v>
      </c>
      <c r="GQ311" s="21"/>
      <c r="GR311" s="21"/>
      <c r="GS311" s="168">
        <v>1003403</v>
      </c>
      <c r="GT311" s="168">
        <v>963583</v>
      </c>
      <c r="GU311" s="168">
        <v>371828</v>
      </c>
      <c r="GV311" s="168">
        <v>303688</v>
      </c>
      <c r="GW311" s="168">
        <v>216092</v>
      </c>
      <c r="GX311" s="168">
        <v>221185</v>
      </c>
      <c r="GY311" s="168">
        <v>54143308</v>
      </c>
      <c r="GZ311" s="168">
        <v>54246423</v>
      </c>
      <c r="HA311" s="168">
        <v>220083</v>
      </c>
      <c r="HB311" s="168">
        <v>218865</v>
      </c>
      <c r="HC311" s="168">
        <v>3820870</v>
      </c>
      <c r="HD311" s="168">
        <v>3502943</v>
      </c>
      <c r="HE311" s="168">
        <v>19152</v>
      </c>
      <c r="HF311" s="168">
        <v>37180</v>
      </c>
      <c r="HG311" s="168">
        <v>117</v>
      </c>
      <c r="HH311" s="21"/>
      <c r="HI311" s="168">
        <v>429906</v>
      </c>
      <c r="HJ311" s="168">
        <v>251529</v>
      </c>
      <c r="HK311" s="21"/>
      <c r="HL311" s="21"/>
      <c r="HM311" s="21"/>
      <c r="HN311" s="21"/>
      <c r="HO311" s="168">
        <v>1746248</v>
      </c>
      <c r="HP311" s="168">
        <v>1680279</v>
      </c>
      <c r="HQ311" s="21"/>
      <c r="HR311" s="21"/>
      <c r="HS311" s="21"/>
      <c r="HT311" s="21"/>
      <c r="HU311" s="168">
        <v>1489106</v>
      </c>
      <c r="HV311" s="168">
        <v>1420925</v>
      </c>
      <c r="HW311" s="21"/>
      <c r="HX311" s="21"/>
      <c r="HY311" s="21"/>
      <c r="HZ311" s="21"/>
      <c r="IA311" s="168">
        <v>21514</v>
      </c>
      <c r="IB311" s="168">
        <v>71860</v>
      </c>
      <c r="IC311" s="21"/>
      <c r="ID311" s="21"/>
      <c r="IE311" s="168">
        <v>1045785</v>
      </c>
      <c r="IF311" s="168">
        <v>992240</v>
      </c>
      <c r="IG311" s="168">
        <v>138173</v>
      </c>
      <c r="IH311" s="168">
        <v>190025</v>
      </c>
      <c r="II311" s="21"/>
      <c r="IJ311" s="21"/>
      <c r="IK311" s="21"/>
      <c r="IL311" s="21"/>
      <c r="IM311" s="21"/>
      <c r="IN311" s="21"/>
      <c r="IO311" s="21"/>
      <c r="IP311" s="168">
        <v>4803</v>
      </c>
      <c r="IQ311" s="168">
        <v>4896</v>
      </c>
      <c r="IR311" s="168">
        <v>6246</v>
      </c>
      <c r="IS311" s="168">
        <v>5</v>
      </c>
      <c r="IT311" s="168">
        <v>99</v>
      </c>
      <c r="IU311" s="168">
        <v>1694121</v>
      </c>
      <c r="IV311" s="168">
        <v>1546768</v>
      </c>
      <c r="IW311" s="168">
        <v>1827279</v>
      </c>
      <c r="IX311" s="168">
        <v>1725644</v>
      </c>
      <c r="IY311" s="168">
        <v>-133158</v>
      </c>
      <c r="IZ311" s="168">
        <v>-178876</v>
      </c>
      <c r="JA311" s="168">
        <v>251085</v>
      </c>
      <c r="JB311" s="168">
        <v>217311</v>
      </c>
      <c r="JC311" s="21"/>
      <c r="JD311" s="21"/>
      <c r="JE311" s="168">
        <v>5686641</v>
      </c>
      <c r="JF311" s="168">
        <v>5330012</v>
      </c>
      <c r="JG311" s="168">
        <v>13729</v>
      </c>
      <c r="JH311" s="168">
        <v>2930</v>
      </c>
      <c r="JI311" s="168">
        <v>68132808</v>
      </c>
      <c r="JJ311" s="168">
        <v>67076119</v>
      </c>
      <c r="JK311" s="168">
        <v>138176</v>
      </c>
      <c r="JL311" s="168">
        <v>190025</v>
      </c>
      <c r="JM311" s="168">
        <v>69960087</v>
      </c>
      <c r="JN311" s="168">
        <v>68801763</v>
      </c>
      <c r="JO311" s="168">
        <v>5018</v>
      </c>
      <c r="JP311" s="168">
        <v>11149</v>
      </c>
      <c r="JQ311" s="168">
        <v>-53442</v>
      </c>
      <c r="JR311" s="168">
        <v>-424979</v>
      </c>
      <c r="JS311" s="168">
        <v>-6457</v>
      </c>
      <c r="JT311" s="168">
        <v>371</v>
      </c>
      <c r="JU311" s="21"/>
      <c r="JV311" s="21"/>
      <c r="JW311" s="168">
        <v>69265367</v>
      </c>
      <c r="JX311" s="168">
        <v>68329993</v>
      </c>
      <c r="JY311" s="21"/>
      <c r="JZ311" s="21"/>
      <c r="KA311" s="168">
        <v>20639</v>
      </c>
      <c r="KB311" s="168">
        <v>7068</v>
      </c>
      <c r="KC311" s="21"/>
      <c r="KD311" s="21"/>
      <c r="KE311" s="168">
        <v>1161345</v>
      </c>
      <c r="KF311" s="168">
        <v>986521</v>
      </c>
      <c r="KG311" s="21"/>
      <c r="KH311" s="21"/>
      <c r="KI311" s="168">
        <v>68083383</v>
      </c>
      <c r="KJ311" s="168">
        <v>67336404</v>
      </c>
      <c r="KK311" s="21"/>
      <c r="KL311" s="21"/>
      <c r="KM311" s="21"/>
      <c r="KN311" s="21"/>
      <c r="KO311" s="21"/>
      <c r="KP311" s="21"/>
      <c r="KQ311" s="168">
        <v>514431</v>
      </c>
      <c r="KR311" s="168">
        <v>695129</v>
      </c>
      <c r="KS311" s="21"/>
      <c r="KT311" s="21"/>
      <c r="KU311" s="168">
        <v>11178273</v>
      </c>
      <c r="KV311" s="168">
        <v>10596505</v>
      </c>
      <c r="KW311" s="21"/>
      <c r="KX311" s="21"/>
      <c r="KY311" s="21"/>
      <c r="KZ311" s="21"/>
      <c r="LA311" s="168">
        <v>1486500</v>
      </c>
      <c r="LB311" s="168">
        <v>1486500</v>
      </c>
      <c r="LC311" s="21"/>
      <c r="LD311" s="21"/>
      <c r="LE311" s="21"/>
      <c r="LF311" s="21"/>
      <c r="LG311" s="21"/>
      <c r="LH311" s="21"/>
      <c r="LI311" s="168">
        <v>2150712</v>
      </c>
      <c r="LJ311" s="168">
        <v>2134139</v>
      </c>
      <c r="LK311" s="168">
        <v>4107301</v>
      </c>
      <c r="LL311" s="168">
        <v>4612806</v>
      </c>
      <c r="LM311" s="168">
        <v>185364</v>
      </c>
      <c r="LN311" s="168">
        <v>49756</v>
      </c>
      <c r="LO311" s="21"/>
      <c r="LP311" s="21"/>
      <c r="LQ311" s="21"/>
      <c r="LR311" s="21"/>
      <c r="LS311" s="21"/>
      <c r="LT311" s="21"/>
      <c r="LU311" s="21"/>
      <c r="LV311" s="21"/>
      <c r="LW311" s="21"/>
      <c r="LX311" s="21"/>
      <c r="LY311" s="21"/>
      <c r="LZ311" s="21"/>
      <c r="MA311" s="168">
        <v>8010557</v>
      </c>
      <c r="MB311" s="168">
        <v>7876443</v>
      </c>
      <c r="MC311" s="168">
        <v>229844</v>
      </c>
      <c r="MD311" s="168">
        <v>321030</v>
      </c>
      <c r="ME311" s="21"/>
      <c r="MF311" s="21"/>
      <c r="MG311" s="168">
        <v>423652</v>
      </c>
      <c r="MH311" s="168">
        <v>427870</v>
      </c>
      <c r="MI311" s="21"/>
      <c r="MJ311" s="21"/>
      <c r="MK311" s="21"/>
      <c r="ML311" s="21"/>
      <c r="MM311" s="168">
        <v>16838</v>
      </c>
      <c r="MN311" s="168">
        <v>16944</v>
      </c>
      <c r="MO311" s="21"/>
      <c r="MP311" s="21"/>
      <c r="MQ311" s="168">
        <v>19593</v>
      </c>
      <c r="MR311" s="168">
        <v>46000</v>
      </c>
      <c r="MS311" s="21"/>
      <c r="MT311" s="21"/>
      <c r="MU311" s="21"/>
      <c r="MV311" s="21"/>
      <c r="MW311" s="168">
        <v>148650</v>
      </c>
      <c r="MX311" s="168">
        <v>148650</v>
      </c>
      <c r="MY311" s="21"/>
      <c r="MZ311" s="21"/>
      <c r="NA311" s="21"/>
      <c r="NB311" s="21"/>
      <c r="NC311" s="168">
        <v>1003403</v>
      </c>
      <c r="ND311" s="168">
        <v>963583</v>
      </c>
      <c r="NE311" s="21"/>
      <c r="NF311" s="21"/>
      <c r="NG311" s="168">
        <v>6274782</v>
      </c>
      <c r="NH311" s="168">
        <v>5513102</v>
      </c>
      <c r="NI311" s="21"/>
      <c r="NJ311" s="21"/>
      <c r="NK311" s="21"/>
      <c r="NL311" s="21"/>
      <c r="NM311" s="168">
        <v>15215047</v>
      </c>
      <c r="NN311" s="168">
        <v>15706247</v>
      </c>
      <c r="NO311" s="168">
        <v>21933076</v>
      </c>
      <c r="NP311" s="168">
        <v>21693220</v>
      </c>
      <c r="NQ311" s="168" t="s">
        <v>1243</v>
      </c>
      <c r="NR311" s="168" t="s">
        <v>769</v>
      </c>
      <c r="NS311" s="168" t="s">
        <v>770</v>
      </c>
      <c r="NT311" s="168" t="s">
        <v>771</v>
      </c>
      <c r="NU311" s="168">
        <v>5201</v>
      </c>
      <c r="NV311" s="168" t="s">
        <v>2104</v>
      </c>
      <c r="NW311" s="168" t="s">
        <v>28</v>
      </c>
      <c r="NX311" s="168" t="s">
        <v>25</v>
      </c>
      <c r="NY311" s="169">
        <v>42766</v>
      </c>
      <c r="NZ311" s="169">
        <v>42400</v>
      </c>
      <c r="OA311" s="169">
        <v>43073</v>
      </c>
      <c r="OB311" s="168" t="s">
        <v>1244</v>
      </c>
      <c r="OC311" s="168">
        <v>12</v>
      </c>
      <c r="OD311" s="168" t="s">
        <v>2105</v>
      </c>
      <c r="OE311" s="168" t="s">
        <v>2112</v>
      </c>
      <c r="OF311" s="168" t="s">
        <v>2393</v>
      </c>
      <c r="OG311" s="168" t="s">
        <v>1932</v>
      </c>
      <c r="OH311" s="168" t="s">
        <v>1214</v>
      </c>
      <c r="OI311" s="168" t="s">
        <v>766</v>
      </c>
      <c r="OJ311" s="168" t="s">
        <v>3240</v>
      </c>
      <c r="OK311" s="168" t="s">
        <v>767</v>
      </c>
    </row>
    <row r="312" spans="1:401" x14ac:dyDescent="0.2">
      <c r="A312" s="170" t="str">
        <f>Liste[[#This Row],[Siren]]</f>
        <v>789334752</v>
      </c>
      <c r="B312" s="198" t="str">
        <f>Liste[[#This Row],[Dénomination]]&amp;" - comptes "&amp;YEAR(Liste[[#This Row],[Date de cloture de l''exercice]])</f>
        <v>ALJOBERGUI - comptes 2017</v>
      </c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168">
        <v>242665</v>
      </c>
      <c r="BE312" s="168">
        <v>225034</v>
      </c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  <c r="BS312" s="21"/>
      <c r="BT312" s="21"/>
      <c r="BU312" s="21"/>
      <c r="BV312" s="21"/>
      <c r="BW312" s="21"/>
      <c r="BX312" s="168">
        <v>3796520</v>
      </c>
      <c r="BY312" s="168">
        <v>4095861</v>
      </c>
      <c r="BZ312" s="21"/>
      <c r="CA312" s="21"/>
      <c r="CB312" s="21"/>
      <c r="CC312" s="21"/>
      <c r="CD312" s="21"/>
      <c r="CE312" s="168">
        <v>294521</v>
      </c>
      <c r="CF312" s="168">
        <v>344521</v>
      </c>
      <c r="CG312" s="21"/>
      <c r="CH312" s="21"/>
      <c r="CI312" s="21"/>
      <c r="CJ312" s="21"/>
      <c r="CK312" s="21"/>
      <c r="CL312" s="21"/>
      <c r="CM312" s="21"/>
      <c r="CN312" s="21"/>
      <c r="CO312" s="21"/>
      <c r="CP312" s="21"/>
      <c r="CQ312" s="21"/>
      <c r="CR312" s="21"/>
      <c r="CS312" s="21"/>
      <c r="CT312" s="21"/>
      <c r="CU312" s="21"/>
      <c r="CV312" s="21"/>
      <c r="CW312" s="21"/>
      <c r="CX312" s="21"/>
      <c r="CY312" s="21"/>
      <c r="CZ312" s="21"/>
      <c r="DA312" s="21"/>
      <c r="DB312" s="21"/>
      <c r="DC312" s="21"/>
      <c r="DD312" s="21"/>
      <c r="DE312" s="21"/>
      <c r="DF312" s="21"/>
      <c r="DG312" s="21"/>
      <c r="DH312" s="21"/>
      <c r="DI312" s="21"/>
      <c r="DJ312" s="21"/>
      <c r="DK312" s="21"/>
      <c r="DL312" s="21"/>
      <c r="DM312" s="21"/>
      <c r="DN312" s="21"/>
      <c r="DO312" s="21"/>
      <c r="DP312" s="21"/>
      <c r="DQ312" s="21"/>
      <c r="DR312" s="21"/>
      <c r="DS312" s="21"/>
      <c r="DT312" s="21"/>
      <c r="DU312" s="21"/>
      <c r="DV312" s="21"/>
      <c r="DW312" s="21"/>
      <c r="DX312" s="21"/>
      <c r="DY312" s="21"/>
      <c r="DZ312" s="21"/>
      <c r="EA312" s="21"/>
      <c r="EB312" s="21"/>
      <c r="EC312" s="21"/>
      <c r="ED312" s="21"/>
      <c r="EE312" s="21"/>
      <c r="EF312" s="21"/>
      <c r="EG312" s="21"/>
      <c r="EH312" s="21"/>
      <c r="EI312" s="21"/>
      <c r="EJ312" s="21"/>
      <c r="EK312" s="21"/>
      <c r="EL312" s="168">
        <v>43815205</v>
      </c>
      <c r="EM312" s="168">
        <v>45350754</v>
      </c>
      <c r="EN312" s="21"/>
      <c r="EO312" s="21"/>
      <c r="EP312" s="168">
        <v>13880501</v>
      </c>
      <c r="EQ312" s="168">
        <v>12985303</v>
      </c>
      <c r="ER312" s="21"/>
      <c r="ES312" s="21"/>
      <c r="ET312" s="168">
        <v>57695706</v>
      </c>
      <c r="EU312" s="168">
        <v>58336057</v>
      </c>
      <c r="EV312" s="21"/>
      <c r="EW312" s="21"/>
      <c r="EX312" s="21"/>
      <c r="EY312" s="21"/>
      <c r="EZ312" s="21"/>
      <c r="FA312" s="21"/>
      <c r="FB312" s="21"/>
      <c r="FC312" s="21"/>
      <c r="FD312" s="21"/>
      <c r="FE312" s="21"/>
      <c r="FF312" s="21"/>
      <c r="FG312" s="21"/>
      <c r="FH312" s="21"/>
      <c r="FI312" s="21"/>
      <c r="FJ312" s="21"/>
      <c r="FK312" s="21"/>
      <c r="FL312" s="21"/>
      <c r="FM312" s="21"/>
      <c r="FN312" s="21"/>
      <c r="FO312" s="21"/>
      <c r="FP312" s="21"/>
      <c r="FQ312" s="168">
        <v>50000</v>
      </c>
      <c r="FR312" s="168">
        <v>50000</v>
      </c>
      <c r="FS312" s="21"/>
      <c r="FT312" s="21"/>
      <c r="FU312" s="168">
        <v>46593</v>
      </c>
      <c r="FV312" s="168">
        <v>81389</v>
      </c>
      <c r="FW312" s="21"/>
      <c r="FX312" s="21"/>
      <c r="FY312" s="168">
        <v>487120</v>
      </c>
      <c r="FZ312" s="168">
        <v>423039</v>
      </c>
      <c r="GA312" s="21"/>
      <c r="GB312" s="21"/>
      <c r="GC312" s="21"/>
      <c r="GD312" s="21"/>
      <c r="GE312" s="21"/>
      <c r="GF312" s="21"/>
      <c r="GG312" s="21"/>
      <c r="GH312" s="21"/>
      <c r="GI312" s="21"/>
      <c r="GJ312" s="21"/>
      <c r="GK312" s="21"/>
      <c r="GL312" s="21"/>
      <c r="GM312" s="21"/>
      <c r="GN312" s="21"/>
      <c r="GO312" s="21"/>
      <c r="GP312" s="21"/>
      <c r="GQ312" s="21"/>
      <c r="GR312" s="21"/>
      <c r="GS312" s="168">
        <v>1070862</v>
      </c>
      <c r="GT312" s="168">
        <v>559689</v>
      </c>
      <c r="GU312" s="21"/>
      <c r="GV312" s="21"/>
      <c r="GW312" s="21"/>
      <c r="GX312" s="21"/>
      <c r="GY312" s="21"/>
      <c r="GZ312" s="21"/>
      <c r="HA312" s="21"/>
      <c r="HB312" s="21"/>
      <c r="HC312" s="21"/>
      <c r="HD312" s="21"/>
      <c r="HE312" s="168">
        <v>4222463</v>
      </c>
      <c r="HF312" s="168">
        <v>3967614</v>
      </c>
      <c r="HG312" s="21"/>
      <c r="HH312" s="21"/>
      <c r="HI312" s="168">
        <v>250693</v>
      </c>
      <c r="HJ312" s="168">
        <v>164699</v>
      </c>
      <c r="HK312" s="21"/>
      <c r="HL312" s="21"/>
      <c r="HM312" s="21"/>
      <c r="HN312" s="21"/>
      <c r="HO312" s="21"/>
      <c r="HP312" s="21"/>
      <c r="HQ312" s="21"/>
      <c r="HR312" s="21"/>
      <c r="HS312" s="21"/>
      <c r="HT312" s="21"/>
      <c r="HU312" s="21"/>
      <c r="HV312" s="21"/>
      <c r="HW312" s="21"/>
      <c r="HX312" s="21"/>
      <c r="HY312" s="21"/>
      <c r="HZ312" s="21"/>
      <c r="IA312" s="21"/>
      <c r="IB312" s="21"/>
      <c r="IC312" s="21"/>
      <c r="ID312" s="21"/>
      <c r="IE312" s="168">
        <v>1400376</v>
      </c>
      <c r="IF312" s="168">
        <v>1353761</v>
      </c>
      <c r="IG312" s="21"/>
      <c r="IH312" s="21"/>
      <c r="II312" s="21"/>
      <c r="IJ312" s="21"/>
      <c r="IK312" s="21"/>
      <c r="IL312" s="21"/>
      <c r="IM312" s="21"/>
      <c r="IN312" s="21"/>
      <c r="IO312" s="21"/>
      <c r="IP312" s="21"/>
      <c r="IQ312" s="21"/>
      <c r="IR312" s="21"/>
      <c r="IS312" s="21"/>
      <c r="IT312" s="21"/>
      <c r="IU312" s="168">
        <v>2666394</v>
      </c>
      <c r="IV312" s="168">
        <v>1808732</v>
      </c>
      <c r="IW312" s="168">
        <v>2856008</v>
      </c>
      <c r="IX312" s="168">
        <v>2220160</v>
      </c>
      <c r="IY312" s="21"/>
      <c r="IZ312" s="21"/>
      <c r="JA312" s="21"/>
      <c r="JB312" s="21"/>
      <c r="JC312" s="21"/>
      <c r="JD312" s="21"/>
      <c r="JE312" s="21"/>
      <c r="JF312" s="21"/>
      <c r="JG312" s="21"/>
      <c r="JH312" s="21"/>
      <c r="JI312" s="168">
        <v>74961602</v>
      </c>
      <c r="JJ312" s="168">
        <v>73815743</v>
      </c>
      <c r="JK312" s="21"/>
      <c r="JL312" s="21"/>
      <c r="JM312" s="168">
        <v>77817610</v>
      </c>
      <c r="JN312" s="168">
        <v>76035903</v>
      </c>
      <c r="JO312" s="21"/>
      <c r="JP312" s="21"/>
      <c r="JQ312" s="21"/>
      <c r="JR312" s="21"/>
      <c r="JS312" s="21"/>
      <c r="JT312" s="21"/>
      <c r="JU312" s="21"/>
      <c r="JV312" s="21"/>
      <c r="JW312" s="168">
        <v>77566917</v>
      </c>
      <c r="JX312" s="168">
        <v>75871204</v>
      </c>
      <c r="JY312" s="21"/>
      <c r="JZ312" s="21"/>
      <c r="KA312" s="21"/>
      <c r="KB312" s="21"/>
      <c r="KC312" s="21"/>
      <c r="KD312" s="21"/>
      <c r="KE312" s="21"/>
      <c r="KF312" s="21"/>
      <c r="KG312" s="21"/>
      <c r="KH312" s="21"/>
      <c r="KI312" s="21"/>
      <c r="KJ312" s="21"/>
      <c r="KK312" s="21"/>
      <c r="KL312" s="21"/>
      <c r="KM312" s="21"/>
      <c r="KN312" s="21"/>
      <c r="KO312" s="21"/>
      <c r="KP312" s="21"/>
      <c r="KQ312" s="168">
        <v>3604316</v>
      </c>
      <c r="KR312" s="168">
        <v>2802536</v>
      </c>
      <c r="KS312" s="21"/>
      <c r="KT312" s="21"/>
      <c r="KU312" s="21"/>
      <c r="KV312" s="21"/>
      <c r="KW312" s="21"/>
      <c r="KX312" s="21"/>
      <c r="KY312" s="21"/>
      <c r="KZ312" s="21"/>
      <c r="LA312" s="168">
        <v>1746600</v>
      </c>
      <c r="LB312" s="168">
        <v>1746600</v>
      </c>
      <c r="LC312" s="21"/>
      <c r="LD312" s="21"/>
      <c r="LE312" s="21"/>
      <c r="LF312" s="21"/>
      <c r="LG312" s="21"/>
      <c r="LH312" s="21"/>
      <c r="LI312" s="21"/>
      <c r="LJ312" s="21"/>
      <c r="LK312" s="168">
        <v>4493324</v>
      </c>
      <c r="LL312" s="168">
        <v>4630928</v>
      </c>
      <c r="LM312" s="21"/>
      <c r="LN312" s="21"/>
      <c r="LO312" s="21"/>
      <c r="LP312" s="21"/>
      <c r="LQ312" s="21"/>
      <c r="LR312" s="21"/>
      <c r="LS312" s="21"/>
      <c r="LT312" s="21"/>
      <c r="LU312" s="21"/>
      <c r="LV312" s="21"/>
      <c r="LW312" s="21"/>
      <c r="LX312" s="21"/>
      <c r="LY312" s="21"/>
      <c r="LZ312" s="21"/>
      <c r="MA312" s="21"/>
      <c r="MB312" s="21"/>
      <c r="MC312" s="168">
        <v>24068649</v>
      </c>
      <c r="MD312" s="168">
        <v>26831241</v>
      </c>
      <c r="ME312" s="21"/>
      <c r="MF312" s="21"/>
      <c r="MG312" s="21"/>
      <c r="MH312" s="21"/>
      <c r="MI312" s="21"/>
      <c r="MJ312" s="21"/>
      <c r="MK312" s="21"/>
      <c r="ML312" s="21"/>
      <c r="MM312" s="21"/>
      <c r="MN312" s="21"/>
      <c r="MO312" s="21"/>
      <c r="MP312" s="21"/>
      <c r="MQ312" s="21"/>
      <c r="MR312" s="21"/>
      <c r="MS312" s="21"/>
      <c r="MT312" s="21"/>
      <c r="MU312" s="21"/>
      <c r="MV312" s="21"/>
      <c r="MW312" s="21"/>
      <c r="MX312" s="21"/>
      <c r="MY312" s="21"/>
      <c r="MZ312" s="21"/>
      <c r="NA312" s="21"/>
      <c r="NB312" s="21"/>
      <c r="NC312" s="168">
        <v>1070862</v>
      </c>
      <c r="ND312" s="168">
        <v>559689</v>
      </c>
      <c r="NE312" s="21"/>
      <c r="NF312" s="21"/>
      <c r="NG312" s="168">
        <v>18074009</v>
      </c>
      <c r="NH312" s="168">
        <v>17003148</v>
      </c>
      <c r="NI312" s="21"/>
      <c r="NJ312" s="21"/>
      <c r="NK312" s="168">
        <v>7343769</v>
      </c>
      <c r="NL312" s="168">
        <v>6856648</v>
      </c>
      <c r="NM312" s="168">
        <v>32166289</v>
      </c>
      <c r="NN312" s="168">
        <v>34264705</v>
      </c>
      <c r="NO312" s="168">
        <v>57695706</v>
      </c>
      <c r="NP312" s="168">
        <v>58336057</v>
      </c>
      <c r="NQ312" s="168" t="s">
        <v>1241</v>
      </c>
      <c r="NR312" s="168" t="s">
        <v>769</v>
      </c>
      <c r="NS312" s="168" t="s">
        <v>770</v>
      </c>
      <c r="NT312" s="168" t="s">
        <v>771</v>
      </c>
      <c r="NU312" s="168">
        <v>8303</v>
      </c>
      <c r="NV312" s="168" t="s">
        <v>2104</v>
      </c>
      <c r="NW312" s="168" t="s">
        <v>28</v>
      </c>
      <c r="NX312" s="168" t="s">
        <v>25</v>
      </c>
      <c r="NY312" s="169">
        <v>42766</v>
      </c>
      <c r="NZ312" s="169">
        <v>42400</v>
      </c>
      <c r="OA312" s="169">
        <v>43077</v>
      </c>
      <c r="OB312" s="168" t="s">
        <v>1242</v>
      </c>
      <c r="OC312" s="168">
        <v>12</v>
      </c>
      <c r="OD312" s="168" t="s">
        <v>2105</v>
      </c>
      <c r="OE312" s="168" t="s">
        <v>2386</v>
      </c>
      <c r="OF312" s="168" t="s">
        <v>2392</v>
      </c>
      <c r="OG312" s="168" t="s">
        <v>1931</v>
      </c>
      <c r="OH312" s="168" t="s">
        <v>1069</v>
      </c>
      <c r="OI312" s="168" t="s">
        <v>766</v>
      </c>
      <c r="OJ312" s="168" t="s">
        <v>3240</v>
      </c>
      <c r="OK312" s="168" t="s">
        <v>767</v>
      </c>
    </row>
    <row r="313" spans="1:401" x14ac:dyDescent="0.2">
      <c r="A313" s="170" t="str">
        <f>Liste[[#This Row],[Siren]]</f>
        <v>824374771</v>
      </c>
      <c r="B313" s="198" t="str">
        <f>Liste[[#This Row],[Dénomination]]&amp;" - comptes "&amp;YEAR(Liste[[#This Row],[Date de cloture de l''exercice]])</f>
        <v>SNG KINGSTON - comptes 2017</v>
      </c>
      <c r="C313" s="21"/>
      <c r="D313" s="21"/>
      <c r="E313" s="21"/>
      <c r="F313" s="168">
        <v>1550154</v>
      </c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168">
        <v>1413878</v>
      </c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  <c r="BS313" s="21"/>
      <c r="BT313" s="21"/>
      <c r="BU313" s="21"/>
      <c r="BV313" s="21"/>
      <c r="BW313" s="21"/>
      <c r="BX313" s="168">
        <v>6284483</v>
      </c>
      <c r="BY313" s="21"/>
      <c r="BZ313" s="21"/>
      <c r="CA313" s="21"/>
      <c r="CB313" s="21"/>
      <c r="CC313" s="21"/>
      <c r="CD313" s="21"/>
      <c r="CE313" s="21"/>
      <c r="CF313" s="21"/>
      <c r="CG313" s="21"/>
      <c r="CH313" s="21"/>
      <c r="CI313" s="21"/>
      <c r="CJ313" s="21"/>
      <c r="CK313" s="21"/>
      <c r="CL313" s="21"/>
      <c r="CM313" s="21"/>
      <c r="CN313" s="21"/>
      <c r="CO313" s="21"/>
      <c r="CP313" s="21"/>
      <c r="CQ313" s="21"/>
      <c r="CR313" s="21"/>
      <c r="CS313" s="21"/>
      <c r="CT313" s="21"/>
      <c r="CU313" s="21"/>
      <c r="CV313" s="21"/>
      <c r="CW313" s="21"/>
      <c r="CX313" s="21"/>
      <c r="CY313" s="21"/>
      <c r="CZ313" s="21"/>
      <c r="DA313" s="21"/>
      <c r="DB313" s="21"/>
      <c r="DC313" s="21"/>
      <c r="DD313" s="21"/>
      <c r="DE313" s="21"/>
      <c r="DF313" s="21"/>
      <c r="DG313" s="21"/>
      <c r="DH313" s="21"/>
      <c r="DI313" s="21"/>
      <c r="DJ313" s="21"/>
      <c r="DK313" s="21"/>
      <c r="DL313" s="21"/>
      <c r="DM313" s="21"/>
      <c r="DN313" s="21"/>
      <c r="DO313" s="21"/>
      <c r="DP313" s="21"/>
      <c r="DQ313" s="21"/>
      <c r="DR313" s="21"/>
      <c r="DS313" s="21"/>
      <c r="DT313" s="21"/>
      <c r="DU313" s="21"/>
      <c r="DV313" s="21"/>
      <c r="DW313" s="21"/>
      <c r="DX313" s="21"/>
      <c r="DY313" s="21"/>
      <c r="DZ313" s="21"/>
      <c r="EA313" s="21"/>
      <c r="EB313" s="21"/>
      <c r="EC313" s="21"/>
      <c r="ED313" s="21"/>
      <c r="EE313" s="21"/>
      <c r="EF313" s="21"/>
      <c r="EG313" s="21"/>
      <c r="EH313" s="21"/>
      <c r="EI313" s="21"/>
      <c r="EJ313" s="21"/>
      <c r="EK313" s="21"/>
      <c r="EL313" s="168">
        <v>36950697</v>
      </c>
      <c r="EM313" s="21"/>
      <c r="EN313" s="21"/>
      <c r="EO313" s="21"/>
      <c r="EP313" s="168">
        <v>50241735</v>
      </c>
      <c r="EQ313" s="21"/>
      <c r="ER313" s="21"/>
      <c r="ES313" s="21"/>
      <c r="ET313" s="168">
        <v>87436390</v>
      </c>
      <c r="EU313" s="21"/>
      <c r="EV313" s="21"/>
      <c r="EW313" s="21"/>
      <c r="EX313" s="21"/>
      <c r="EY313" s="21"/>
      <c r="EZ313" s="21"/>
      <c r="FA313" s="21"/>
      <c r="FB313" s="21"/>
      <c r="FC313" s="21"/>
      <c r="FD313" s="21"/>
      <c r="FE313" s="21"/>
      <c r="FF313" s="168">
        <v>34399947</v>
      </c>
      <c r="FG313" s="21"/>
      <c r="FH313" s="21"/>
      <c r="FI313" s="168">
        <v>1696</v>
      </c>
      <c r="FJ313" s="21"/>
      <c r="FK313" s="21"/>
      <c r="FL313" s="21"/>
      <c r="FM313" s="21"/>
      <c r="FN313" s="21"/>
      <c r="FO313" s="21"/>
      <c r="FP313" s="21"/>
      <c r="FQ313" s="21"/>
      <c r="FR313" s="21"/>
      <c r="FS313" s="21"/>
      <c r="FT313" s="21"/>
      <c r="FU313" s="21"/>
      <c r="FV313" s="21"/>
      <c r="FW313" s="168">
        <v>33093</v>
      </c>
      <c r="FX313" s="21"/>
      <c r="FY313" s="168">
        <v>4088</v>
      </c>
      <c r="FZ313" s="21"/>
      <c r="GA313" s="21"/>
      <c r="GB313" s="21"/>
      <c r="GC313" s="21"/>
      <c r="GD313" s="21"/>
      <c r="GE313" s="21"/>
      <c r="GF313" s="21"/>
      <c r="GG313" s="21"/>
      <c r="GH313" s="21"/>
      <c r="GI313" s="21"/>
      <c r="GJ313" s="21"/>
      <c r="GK313" s="21"/>
      <c r="GL313" s="21"/>
      <c r="GM313" s="168">
        <v>102487</v>
      </c>
      <c r="GN313" s="21"/>
      <c r="GO313" s="168">
        <v>102487</v>
      </c>
      <c r="GP313" s="21"/>
      <c r="GQ313" s="21"/>
      <c r="GR313" s="21"/>
      <c r="GS313" s="168">
        <v>98399</v>
      </c>
      <c r="GT313" s="21"/>
      <c r="GU313" s="168">
        <v>4725</v>
      </c>
      <c r="GV313" s="21"/>
      <c r="GW313" s="168">
        <v>6421</v>
      </c>
      <c r="GX313" s="21"/>
      <c r="GY313" s="21"/>
      <c r="GZ313" s="21"/>
      <c r="HA313" s="21"/>
      <c r="HB313" s="21"/>
      <c r="HC313" s="168">
        <v>176519</v>
      </c>
      <c r="HD313" s="21"/>
      <c r="HE313" s="21"/>
      <c r="HF313" s="21"/>
      <c r="HG313" s="21"/>
      <c r="HH313" s="21"/>
      <c r="HI313" s="168">
        <v>19675</v>
      </c>
      <c r="HJ313" s="21"/>
      <c r="HK313" s="21"/>
      <c r="HL313" s="21"/>
      <c r="HM313" s="21"/>
      <c r="HN313" s="21"/>
      <c r="HO313" s="21"/>
      <c r="HP313" s="21"/>
      <c r="HQ313" s="21"/>
      <c r="HR313" s="21"/>
      <c r="HS313" s="21"/>
      <c r="HT313" s="21"/>
      <c r="HU313" s="168">
        <v>60145</v>
      </c>
      <c r="HV313" s="21"/>
      <c r="HW313" s="21"/>
      <c r="HX313" s="21"/>
      <c r="HY313" s="168">
        <v>5107</v>
      </c>
      <c r="HZ313" s="21"/>
      <c r="IA313" s="21"/>
      <c r="IB313" s="21"/>
      <c r="IC313" s="21"/>
      <c r="ID313" s="21"/>
      <c r="IE313" s="168">
        <v>46271</v>
      </c>
      <c r="IF313" s="21"/>
      <c r="IG313" s="21"/>
      <c r="IH313" s="21"/>
      <c r="II313" s="21"/>
      <c r="IJ313" s="21"/>
      <c r="IK313" s="21"/>
      <c r="IL313" s="21"/>
      <c r="IM313" s="21"/>
      <c r="IN313" s="21"/>
      <c r="IO313" s="21"/>
      <c r="IP313" s="21"/>
      <c r="IQ313" s="21"/>
      <c r="IR313" s="21"/>
      <c r="IS313" s="21"/>
      <c r="IT313" s="21"/>
      <c r="IU313" s="168">
        <v>133884</v>
      </c>
      <c r="IV313" s="21"/>
      <c r="IW313" s="168">
        <v>102722</v>
      </c>
      <c r="IX313" s="21"/>
      <c r="IY313" s="168">
        <v>31162</v>
      </c>
      <c r="IZ313" s="21"/>
      <c r="JA313" s="168">
        <v>10595</v>
      </c>
      <c r="JB313" s="21"/>
      <c r="JC313" s="21"/>
      <c r="JD313" s="21"/>
      <c r="JE313" s="21"/>
      <c r="JF313" s="21"/>
      <c r="JG313" s="168">
        <v>2521</v>
      </c>
      <c r="JH313" s="21"/>
      <c r="JI313" s="168">
        <v>2791470</v>
      </c>
      <c r="JJ313" s="21"/>
      <c r="JK313" s="168">
        <v>4350</v>
      </c>
      <c r="JL313" s="21"/>
      <c r="JM313" s="168">
        <v>2894192</v>
      </c>
      <c r="JN313" s="21"/>
      <c r="JO313" s="168">
        <v>35512</v>
      </c>
      <c r="JP313" s="21"/>
      <c r="JQ313" s="21"/>
      <c r="JR313" s="21"/>
      <c r="JS313" s="21"/>
      <c r="JT313" s="21"/>
      <c r="JU313" s="21"/>
      <c r="JV313" s="21"/>
      <c r="JW313" s="168">
        <v>2861401</v>
      </c>
      <c r="JX313" s="21"/>
      <c r="JY313" s="21"/>
      <c r="JZ313" s="21"/>
      <c r="KA313" s="21"/>
      <c r="KB313" s="21"/>
      <c r="KC313" s="21"/>
      <c r="KD313" s="21"/>
      <c r="KE313" s="21"/>
      <c r="KF313" s="21"/>
      <c r="KG313" s="21"/>
      <c r="KH313" s="21"/>
      <c r="KI313" s="168">
        <v>2537557</v>
      </c>
      <c r="KJ313" s="21"/>
      <c r="KK313" s="21"/>
      <c r="KL313" s="21"/>
      <c r="KM313" s="21"/>
      <c r="KN313" s="21"/>
      <c r="KO313" s="21"/>
      <c r="KP313" s="21"/>
      <c r="KQ313" s="168">
        <v>1108027</v>
      </c>
      <c r="KR313" s="21"/>
      <c r="KS313" s="21"/>
      <c r="KT313" s="21"/>
      <c r="KU313" s="21"/>
      <c r="KV313" s="21"/>
      <c r="KW313" s="21"/>
      <c r="KX313" s="21"/>
      <c r="KY313" s="21"/>
      <c r="KZ313" s="21"/>
      <c r="LA313" s="168">
        <v>31337441</v>
      </c>
      <c r="LB313" s="21"/>
      <c r="LC313" s="21"/>
      <c r="LD313" s="21"/>
      <c r="LE313" s="21"/>
      <c r="LF313" s="21"/>
      <c r="LG313" s="21"/>
      <c r="LH313" s="21"/>
      <c r="LI313" s="168">
        <v>3377344</v>
      </c>
      <c r="LJ313" s="21"/>
      <c r="LK313" s="168">
        <v>5734402</v>
      </c>
      <c r="LL313" s="21"/>
      <c r="LM313" s="168">
        <v>97140</v>
      </c>
      <c r="LN313" s="21"/>
      <c r="LO313" s="21"/>
      <c r="LP313" s="21"/>
      <c r="LQ313" s="21"/>
      <c r="LR313" s="21"/>
      <c r="LS313" s="21"/>
      <c r="LT313" s="21"/>
      <c r="LU313" s="21"/>
      <c r="LV313" s="21"/>
      <c r="LW313" s="21"/>
      <c r="LX313" s="21"/>
      <c r="LY313" s="21"/>
      <c r="LZ313" s="21"/>
      <c r="MA313" s="21"/>
      <c r="MB313" s="21"/>
      <c r="MC313" s="168">
        <v>32589971</v>
      </c>
      <c r="MD313" s="21"/>
      <c r="ME313" s="21"/>
      <c r="MF313" s="21"/>
      <c r="MG313" s="21"/>
      <c r="MH313" s="21"/>
      <c r="MI313" s="21"/>
      <c r="MJ313" s="21"/>
      <c r="MK313" s="21"/>
      <c r="ML313" s="21"/>
      <c r="MM313" s="168">
        <v>2102</v>
      </c>
      <c r="MN313" s="21"/>
      <c r="MO313" s="21"/>
      <c r="MP313" s="21"/>
      <c r="MQ313" s="21"/>
      <c r="MR313" s="21"/>
      <c r="MS313" s="21"/>
      <c r="MT313" s="21"/>
      <c r="MU313" s="21"/>
      <c r="MV313" s="21"/>
      <c r="MW313" s="21"/>
      <c r="MX313" s="21"/>
      <c r="MY313" s="21"/>
      <c r="MZ313" s="21"/>
      <c r="NA313" s="21"/>
      <c r="NB313" s="21"/>
      <c r="NC313" s="168">
        <v>88389</v>
      </c>
      <c r="ND313" s="21"/>
      <c r="NE313" s="21"/>
      <c r="NF313" s="21"/>
      <c r="NG313" s="168">
        <v>31346398</v>
      </c>
      <c r="NH313" s="21"/>
      <c r="NI313" s="21"/>
      <c r="NJ313" s="21"/>
      <c r="NK313" s="168">
        <v>3063139</v>
      </c>
      <c r="NL313" s="21"/>
      <c r="NM313" s="168">
        <v>42888986</v>
      </c>
      <c r="NN313" s="21"/>
      <c r="NO313" s="168">
        <v>87436390</v>
      </c>
      <c r="NP313" s="21"/>
      <c r="NQ313" s="168" t="s">
        <v>3391</v>
      </c>
      <c r="NR313" s="168" t="s">
        <v>769</v>
      </c>
      <c r="NS313" s="168" t="s">
        <v>770</v>
      </c>
      <c r="NT313" s="168" t="s">
        <v>771</v>
      </c>
      <c r="NU313" s="168">
        <v>5103</v>
      </c>
      <c r="NV313" s="168" t="s">
        <v>2104</v>
      </c>
      <c r="NW313" s="168" t="s">
        <v>28</v>
      </c>
      <c r="NX313" s="168" t="s">
        <v>25</v>
      </c>
      <c r="NY313" s="169">
        <v>42766</v>
      </c>
      <c r="NZ313" s="21"/>
      <c r="OA313" s="169">
        <v>43105</v>
      </c>
      <c r="OB313" s="168" t="s">
        <v>3392</v>
      </c>
      <c r="OC313" s="168">
        <v>1</v>
      </c>
      <c r="OD313" s="168" t="s">
        <v>2105</v>
      </c>
      <c r="OE313" s="168" t="s">
        <v>2188</v>
      </c>
      <c r="OF313" s="168" t="s">
        <v>3393</v>
      </c>
      <c r="OG313" s="168" t="s">
        <v>3394</v>
      </c>
      <c r="OH313" s="168" t="s">
        <v>787</v>
      </c>
      <c r="OI313" s="168" t="s">
        <v>766</v>
      </c>
      <c r="OJ313" s="168" t="s">
        <v>3240</v>
      </c>
      <c r="OK313" s="168" t="s">
        <v>767</v>
      </c>
    </row>
    <row r="314" spans="1:401" x14ac:dyDescent="0.2">
      <c r="A314" s="170" t="str">
        <f>Liste[[#This Row],[Siren]]</f>
        <v>453189037</v>
      </c>
      <c r="B314" s="198" t="str">
        <f>Liste[[#This Row],[Dénomination]]&amp;" - comptes "&amp;YEAR(Liste[[#This Row],[Date de cloture de l''exercice]])</f>
        <v>SOFICRI - comptes 2017</v>
      </c>
      <c r="C314" s="21"/>
      <c r="D314" s="21"/>
      <c r="E314" s="21"/>
      <c r="F314" s="168">
        <v>941000</v>
      </c>
      <c r="G314" s="168">
        <v>771000</v>
      </c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168">
        <v>99000</v>
      </c>
      <c r="BA314" s="168">
        <v>103000</v>
      </c>
      <c r="BB314" s="21"/>
      <c r="BC314" s="21"/>
      <c r="BD314" s="168">
        <v>279000</v>
      </c>
      <c r="BE314" s="168">
        <v>246000</v>
      </c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  <c r="BS314" s="21"/>
      <c r="BT314" s="21"/>
      <c r="BU314" s="21"/>
      <c r="BV314" s="21"/>
      <c r="BW314" s="21"/>
      <c r="BX314" s="168">
        <v>1409000</v>
      </c>
      <c r="BY314" s="168">
        <v>910000</v>
      </c>
      <c r="BZ314" s="21"/>
      <c r="CA314" s="21"/>
      <c r="CB314" s="21"/>
      <c r="CC314" s="21"/>
      <c r="CD314" s="21"/>
      <c r="CE314" s="168">
        <v>3324000</v>
      </c>
      <c r="CF314" s="168">
        <v>3948000</v>
      </c>
      <c r="CG314" s="21"/>
      <c r="CH314" s="21"/>
      <c r="CI314" s="21"/>
      <c r="CJ314" s="21"/>
      <c r="CK314" s="21"/>
      <c r="CL314" s="21"/>
      <c r="CM314" s="21"/>
      <c r="CN314" s="21"/>
      <c r="CO314" s="21"/>
      <c r="CP314" s="21"/>
      <c r="CQ314" s="21"/>
      <c r="CR314" s="21"/>
      <c r="CS314" s="21"/>
      <c r="CT314" s="21"/>
      <c r="CU314" s="21"/>
      <c r="CV314" s="21"/>
      <c r="CW314" s="21"/>
      <c r="CX314" s="21"/>
      <c r="CY314" s="21"/>
      <c r="CZ314" s="21"/>
      <c r="DA314" s="21"/>
      <c r="DB314" s="21"/>
      <c r="DC314" s="21"/>
      <c r="DD314" s="21"/>
      <c r="DE314" s="21"/>
      <c r="DF314" s="21"/>
      <c r="DG314" s="21"/>
      <c r="DH314" s="21"/>
      <c r="DI314" s="21"/>
      <c r="DJ314" s="21"/>
      <c r="DK314" s="21"/>
      <c r="DL314" s="21"/>
      <c r="DM314" s="21"/>
      <c r="DN314" s="21"/>
      <c r="DO314" s="21"/>
      <c r="DP314" s="21"/>
      <c r="DQ314" s="21"/>
      <c r="DR314" s="21"/>
      <c r="DS314" s="21"/>
      <c r="DT314" s="21"/>
      <c r="DU314" s="21"/>
      <c r="DV314" s="21"/>
      <c r="DW314" s="21"/>
      <c r="DX314" s="21"/>
      <c r="DY314" s="21"/>
      <c r="DZ314" s="21"/>
      <c r="EA314" s="21"/>
      <c r="EB314" s="21"/>
      <c r="EC314" s="21"/>
      <c r="ED314" s="21"/>
      <c r="EE314" s="21"/>
      <c r="EF314" s="21"/>
      <c r="EG314" s="21"/>
      <c r="EH314" s="21"/>
      <c r="EI314" s="21"/>
      <c r="EJ314" s="21"/>
      <c r="EK314" s="21"/>
      <c r="EL314" s="168">
        <v>10164000</v>
      </c>
      <c r="EM314" s="168">
        <v>10690000</v>
      </c>
      <c r="EN314" s="21"/>
      <c r="EO314" s="21"/>
      <c r="EP314" s="168">
        <v>7753000</v>
      </c>
      <c r="EQ314" s="168">
        <v>103000</v>
      </c>
      <c r="ER314" s="21"/>
      <c r="ES314" s="21"/>
      <c r="ET314" s="168">
        <v>17916000</v>
      </c>
      <c r="EU314" s="168">
        <v>28338000</v>
      </c>
      <c r="EV314" s="21"/>
      <c r="EW314" s="21"/>
      <c r="EX314" s="21"/>
      <c r="EY314" s="21"/>
      <c r="EZ314" s="21"/>
      <c r="FA314" s="21"/>
      <c r="FB314" s="21"/>
      <c r="FC314" s="21"/>
      <c r="FD314" s="21"/>
      <c r="FE314" s="21"/>
      <c r="FF314" s="168">
        <v>1975000</v>
      </c>
      <c r="FG314" s="168">
        <v>2619000</v>
      </c>
      <c r="FH314" s="21"/>
      <c r="FI314" s="168">
        <v>32000</v>
      </c>
      <c r="FJ314" s="168">
        <v>17000</v>
      </c>
      <c r="FK314" s="21"/>
      <c r="FL314" s="21"/>
      <c r="FM314" s="21"/>
      <c r="FN314" s="21"/>
      <c r="FO314" s="21"/>
      <c r="FP314" s="21"/>
      <c r="FQ314" s="168">
        <v>-624000</v>
      </c>
      <c r="FR314" s="168">
        <v>-624000</v>
      </c>
      <c r="FS314" s="21"/>
      <c r="FT314" s="21"/>
      <c r="FU314" s="21"/>
      <c r="FV314" s="21"/>
      <c r="FW314" s="168">
        <v>-166000</v>
      </c>
      <c r="FX314" s="168">
        <v>-141000</v>
      </c>
      <c r="FY314" s="168">
        <v>5000</v>
      </c>
      <c r="FZ314" s="168">
        <v>5000</v>
      </c>
      <c r="GA314" s="21"/>
      <c r="GB314" s="21"/>
      <c r="GC314" s="21"/>
      <c r="GD314" s="21"/>
      <c r="GE314" s="21"/>
      <c r="GF314" s="21"/>
      <c r="GG314" s="21"/>
      <c r="GH314" s="21"/>
      <c r="GI314" s="21"/>
      <c r="GJ314" s="21"/>
      <c r="GK314" s="21"/>
      <c r="GL314" s="21"/>
      <c r="GM314" s="168">
        <v>298000</v>
      </c>
      <c r="GN314" s="168">
        <v>255000</v>
      </c>
      <c r="GO314" s="168">
        <v>929000</v>
      </c>
      <c r="GP314" s="168">
        <v>885000</v>
      </c>
      <c r="GQ314" s="168">
        <v>-7000</v>
      </c>
      <c r="GR314" s="168">
        <v>-7000</v>
      </c>
      <c r="GS314" s="168">
        <v>293000</v>
      </c>
      <c r="GT314" s="168">
        <v>250000</v>
      </c>
      <c r="GU314" s="168">
        <v>8000</v>
      </c>
      <c r="GV314" s="168">
        <v>26000</v>
      </c>
      <c r="GW314" s="168">
        <v>40000</v>
      </c>
      <c r="GX314" s="168">
        <v>43000</v>
      </c>
      <c r="GY314" s="21"/>
      <c r="GZ314" s="21"/>
      <c r="HA314" s="21"/>
      <c r="HB314" s="21"/>
      <c r="HC314" s="168">
        <v>3352000</v>
      </c>
      <c r="HD314" s="168">
        <v>2965000</v>
      </c>
      <c r="HE314" s="168">
        <v>26000</v>
      </c>
      <c r="HF314" s="168">
        <v>38000</v>
      </c>
      <c r="HG314" s="21"/>
      <c r="HH314" s="21"/>
      <c r="HI314" s="168">
        <v>31000</v>
      </c>
      <c r="HJ314" s="168">
        <v>27000</v>
      </c>
      <c r="HK314" s="21"/>
      <c r="HL314" s="21"/>
      <c r="HM314" s="21"/>
      <c r="HN314" s="21"/>
      <c r="HO314" s="21"/>
      <c r="HP314" s="21"/>
      <c r="HQ314" s="21"/>
      <c r="HR314" s="21"/>
      <c r="HS314" s="21"/>
      <c r="HT314" s="21"/>
      <c r="HU314" s="168">
        <v>708000</v>
      </c>
      <c r="HV314" s="168">
        <v>787000</v>
      </c>
      <c r="HW314" s="21"/>
      <c r="HX314" s="21"/>
      <c r="HY314" s="21"/>
      <c r="HZ314" s="21"/>
      <c r="IA314" s="21"/>
      <c r="IB314" s="21"/>
      <c r="IC314" s="21"/>
      <c r="ID314" s="21"/>
      <c r="IE314" s="168">
        <v>584000</v>
      </c>
      <c r="IF314" s="168">
        <v>572000</v>
      </c>
      <c r="IG314" s="21"/>
      <c r="IH314" s="21"/>
      <c r="II314" s="21"/>
      <c r="IJ314" s="21"/>
      <c r="IK314" s="21"/>
      <c r="IL314" s="21"/>
      <c r="IM314" s="21"/>
      <c r="IN314" s="21"/>
      <c r="IO314" s="21"/>
      <c r="IP314" s="21"/>
      <c r="IQ314" s="21"/>
      <c r="IR314" s="21"/>
      <c r="IS314" s="21"/>
      <c r="IT314" s="21"/>
      <c r="IU314" s="168">
        <v>1062000</v>
      </c>
      <c r="IV314" s="168">
        <v>1010000</v>
      </c>
      <c r="IW314" s="168">
        <v>1099000</v>
      </c>
      <c r="IX314" s="168">
        <v>1083000</v>
      </c>
      <c r="IY314" s="168">
        <v>-37000</v>
      </c>
      <c r="IZ314" s="168">
        <v>-73000</v>
      </c>
      <c r="JA314" s="168">
        <v>69000</v>
      </c>
      <c r="JB314" s="168">
        <v>60000</v>
      </c>
      <c r="JC314" s="21"/>
      <c r="JD314" s="21"/>
      <c r="JE314" s="21"/>
      <c r="JF314" s="21"/>
      <c r="JG314" s="21"/>
      <c r="JH314" s="21"/>
      <c r="JI314" s="168">
        <v>50506000</v>
      </c>
      <c r="JJ314" s="168">
        <v>50502000</v>
      </c>
      <c r="JK314" s="168">
        <v>120000</v>
      </c>
      <c r="JL314" s="168">
        <v>235000</v>
      </c>
      <c r="JM314" s="168">
        <v>51605000</v>
      </c>
      <c r="JN314" s="168">
        <v>51585000</v>
      </c>
      <c r="JO314" s="168">
        <v>83000</v>
      </c>
      <c r="JP314" s="168">
        <v>162000</v>
      </c>
      <c r="JQ314" s="21"/>
      <c r="JR314" s="21"/>
      <c r="JS314" s="21"/>
      <c r="JT314" s="21"/>
      <c r="JU314" s="21"/>
      <c r="JV314" s="21"/>
      <c r="JW314" s="168">
        <v>51505000</v>
      </c>
      <c r="JX314" s="168">
        <v>51498000</v>
      </c>
      <c r="JY314" s="21"/>
      <c r="JZ314" s="21"/>
      <c r="KA314" s="21"/>
      <c r="KB314" s="21"/>
      <c r="KC314" s="21"/>
      <c r="KD314" s="21"/>
      <c r="KE314" s="21"/>
      <c r="KF314" s="21"/>
      <c r="KG314" s="21"/>
      <c r="KH314" s="21"/>
      <c r="KI314" s="21"/>
      <c r="KJ314" s="21"/>
      <c r="KK314" s="21"/>
      <c r="KL314" s="21"/>
      <c r="KM314" s="21"/>
      <c r="KN314" s="21"/>
      <c r="KO314" s="21"/>
      <c r="KP314" s="21"/>
      <c r="KQ314" s="168">
        <v>415000</v>
      </c>
      <c r="KR314" s="168">
        <v>223000</v>
      </c>
      <c r="KS314" s="21"/>
      <c r="KT314" s="21"/>
      <c r="KU314" s="21"/>
      <c r="KV314" s="21"/>
      <c r="KW314" s="21"/>
      <c r="KX314" s="21"/>
      <c r="KY314" s="21"/>
      <c r="KZ314" s="21"/>
      <c r="LA314" s="168">
        <v>1310000</v>
      </c>
      <c r="LB314" s="168">
        <v>1310000</v>
      </c>
      <c r="LC314" s="21"/>
      <c r="LD314" s="21"/>
      <c r="LE314" s="21"/>
      <c r="LF314" s="21"/>
      <c r="LG314" s="21"/>
      <c r="LH314" s="21"/>
      <c r="LI314" s="168">
        <v>1226000</v>
      </c>
      <c r="LJ314" s="168">
        <v>1203000</v>
      </c>
      <c r="LK314" s="168">
        <v>3191000</v>
      </c>
      <c r="LL314" s="168">
        <v>3323000</v>
      </c>
      <c r="LM314" s="21"/>
      <c r="LN314" s="21"/>
      <c r="LO314" s="21"/>
      <c r="LP314" s="21"/>
      <c r="LQ314" s="21"/>
      <c r="LR314" s="21"/>
      <c r="LS314" s="21"/>
      <c r="LT314" s="21"/>
      <c r="LU314" s="21"/>
      <c r="LV314" s="21"/>
      <c r="LW314" s="21"/>
      <c r="LX314" s="21"/>
      <c r="LY314" s="21"/>
      <c r="LZ314" s="21"/>
      <c r="MA314" s="21"/>
      <c r="MB314" s="21"/>
      <c r="MC314" s="168">
        <v>6231000</v>
      </c>
      <c r="MD314" s="168">
        <v>7026000</v>
      </c>
      <c r="ME314" s="21"/>
      <c r="MF314" s="21"/>
      <c r="MG314" s="21"/>
      <c r="MH314" s="21"/>
      <c r="MI314" s="168">
        <v>266000</v>
      </c>
      <c r="MJ314" s="168">
        <v>266000</v>
      </c>
      <c r="MK314" s="21"/>
      <c r="ML314" s="21"/>
      <c r="MM314" s="21"/>
      <c r="MN314" s="21"/>
      <c r="MO314" s="21"/>
      <c r="MP314" s="21"/>
      <c r="MQ314" s="21"/>
      <c r="MR314" s="21"/>
      <c r="MS314" s="21"/>
      <c r="MT314" s="21"/>
      <c r="MU314" s="21"/>
      <c r="MV314" s="21"/>
      <c r="MW314" s="21"/>
      <c r="MX314" s="21"/>
      <c r="MY314" s="21"/>
      <c r="MZ314" s="21"/>
      <c r="NA314" s="21"/>
      <c r="NB314" s="21"/>
      <c r="NC314" s="168">
        <v>293000</v>
      </c>
      <c r="ND314" s="168">
        <v>250000</v>
      </c>
      <c r="NE314" s="21"/>
      <c r="NF314" s="21"/>
      <c r="NG314" s="168">
        <v>6605000</v>
      </c>
      <c r="NH314" s="168">
        <v>6313000</v>
      </c>
      <c r="NI314" s="21"/>
      <c r="NJ314" s="21"/>
      <c r="NK314" s="21"/>
      <c r="NL314" s="21"/>
      <c r="NM314" s="21"/>
      <c r="NN314" s="21"/>
      <c r="NO314" s="168">
        <v>17916000</v>
      </c>
      <c r="NP314" s="168">
        <v>18338000</v>
      </c>
      <c r="NQ314" s="168" t="s">
        <v>1553</v>
      </c>
      <c r="NR314" s="168" t="s">
        <v>797</v>
      </c>
      <c r="NS314" s="168" t="s">
        <v>770</v>
      </c>
      <c r="NT314" s="168" t="s">
        <v>771</v>
      </c>
      <c r="NU314" s="168">
        <v>5601</v>
      </c>
      <c r="NV314" s="168" t="s">
        <v>2104</v>
      </c>
      <c r="NW314" s="168" t="s">
        <v>28</v>
      </c>
      <c r="NX314" s="168" t="s">
        <v>25</v>
      </c>
      <c r="NY314" s="169">
        <v>42766</v>
      </c>
      <c r="NZ314" s="169">
        <v>42400</v>
      </c>
      <c r="OA314" s="169">
        <v>42947</v>
      </c>
      <c r="OB314" s="168" t="s">
        <v>1554</v>
      </c>
      <c r="OC314" s="168">
        <v>12</v>
      </c>
      <c r="OD314" s="168" t="s">
        <v>2105</v>
      </c>
      <c r="OE314" s="168" t="s">
        <v>2412</v>
      </c>
      <c r="OF314" s="168" t="s">
        <v>2632</v>
      </c>
      <c r="OG314" s="168" t="s">
        <v>2083</v>
      </c>
      <c r="OH314" s="168" t="s">
        <v>1031</v>
      </c>
      <c r="OI314" s="168" t="s">
        <v>766</v>
      </c>
      <c r="OJ314" s="168" t="s">
        <v>3240</v>
      </c>
      <c r="OK314" s="168" t="s">
        <v>796</v>
      </c>
    </row>
    <row r="315" spans="1:401" x14ac:dyDescent="0.2">
      <c r="A315" s="170" t="str">
        <f>Liste[[#This Row],[Siren]]</f>
        <v>491878880</v>
      </c>
      <c r="B315" s="198" t="str">
        <f>Liste[[#This Row],[Dénomination]]&amp;" - comptes "&amp;YEAR(Liste[[#This Row],[Date de cloture de l''exercice]])</f>
        <v>CAUDIS EXPLOITATION - comptes 2017</v>
      </c>
      <c r="C315" s="21"/>
      <c r="D315" s="21"/>
      <c r="E315" s="21"/>
      <c r="F315" s="168">
        <v>1632139</v>
      </c>
      <c r="G315" s="168">
        <v>1241333</v>
      </c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168">
        <v>1202579</v>
      </c>
      <c r="BE315" s="168">
        <v>1328461</v>
      </c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168">
        <v>1090542</v>
      </c>
      <c r="BY315" s="168">
        <v>1162034</v>
      </c>
      <c r="BZ315" s="21"/>
      <c r="CA315" s="21"/>
      <c r="CB315" s="21"/>
      <c r="CC315" s="21"/>
      <c r="CD315" s="21"/>
      <c r="CE315" s="168">
        <v>11899575</v>
      </c>
      <c r="CF315" s="168">
        <v>1336743</v>
      </c>
      <c r="CG315" s="21"/>
      <c r="CH315" s="21"/>
      <c r="CI315" s="21"/>
      <c r="CJ315" s="21"/>
      <c r="CK315" s="21"/>
      <c r="CL315" s="21"/>
      <c r="CM315" s="21"/>
      <c r="CN315" s="21"/>
      <c r="CO315" s="21"/>
      <c r="CP315" s="21"/>
      <c r="CQ315" s="21"/>
      <c r="CR315" s="21"/>
      <c r="CS315" s="21"/>
      <c r="CT315" s="21"/>
      <c r="CU315" s="21"/>
      <c r="CV315" s="21"/>
      <c r="CW315" s="21"/>
      <c r="CX315" s="21"/>
      <c r="CY315" s="21"/>
      <c r="CZ315" s="21"/>
      <c r="DA315" s="21"/>
      <c r="DB315" s="21"/>
      <c r="DC315" s="21"/>
      <c r="DD315" s="21"/>
      <c r="DE315" s="21"/>
      <c r="DF315" s="21"/>
      <c r="DG315" s="21"/>
      <c r="DH315" s="21"/>
      <c r="DI315" s="21"/>
      <c r="DJ315" s="21"/>
      <c r="DK315" s="21"/>
      <c r="DL315" s="21"/>
      <c r="DM315" s="21"/>
      <c r="DN315" s="21"/>
      <c r="DO315" s="21"/>
      <c r="DP315" s="21"/>
      <c r="DQ315" s="21"/>
      <c r="DR315" s="21"/>
      <c r="DS315" s="21"/>
      <c r="DT315" s="21"/>
      <c r="DU315" s="21"/>
      <c r="DV315" s="21"/>
      <c r="DW315" s="21"/>
      <c r="DX315" s="21"/>
      <c r="DY315" s="21"/>
      <c r="DZ315" s="21"/>
      <c r="EA315" s="21"/>
      <c r="EB315" s="21"/>
      <c r="EC315" s="21"/>
      <c r="ED315" s="21"/>
      <c r="EE315" s="21"/>
      <c r="EF315" s="21"/>
      <c r="EG315" s="21"/>
      <c r="EH315" s="21"/>
      <c r="EI315" s="21"/>
      <c r="EJ315" s="21"/>
      <c r="EK315" s="21"/>
      <c r="EL315" s="168">
        <v>19804160</v>
      </c>
      <c r="EM315" s="168">
        <v>31480008</v>
      </c>
      <c r="EN315" s="21"/>
      <c r="EO315" s="21"/>
      <c r="EP315" s="168">
        <v>9444636</v>
      </c>
      <c r="EQ315" s="168">
        <v>9139270</v>
      </c>
      <c r="ER315" s="21"/>
      <c r="ES315" s="21"/>
      <c r="ET315" s="168">
        <v>42088133</v>
      </c>
      <c r="EU315" s="168">
        <v>42919814</v>
      </c>
      <c r="EV315" s="21"/>
      <c r="EW315" s="21"/>
      <c r="EX315" s="21"/>
      <c r="EY315" s="21"/>
      <c r="EZ315" s="21"/>
      <c r="FA315" s="21"/>
      <c r="FB315" s="21"/>
      <c r="FC315" s="21"/>
      <c r="FD315" s="21"/>
      <c r="FE315" s="21"/>
      <c r="FF315" s="21"/>
      <c r="FG315" s="21"/>
      <c r="FH315" s="21"/>
      <c r="FI315" s="168">
        <v>1444</v>
      </c>
      <c r="FJ315" s="168">
        <v>336413</v>
      </c>
      <c r="FK315" s="21"/>
      <c r="FL315" s="21"/>
      <c r="FM315" s="21"/>
      <c r="FN315" s="21"/>
      <c r="FO315" s="21"/>
      <c r="FP315" s="21"/>
      <c r="FQ315" s="168">
        <v>233115</v>
      </c>
      <c r="FR315" s="168">
        <v>233115</v>
      </c>
      <c r="FS315" s="21"/>
      <c r="FT315" s="21"/>
      <c r="FU315" s="21"/>
      <c r="FV315" s="21"/>
      <c r="FW315" s="21"/>
      <c r="FX315" s="21"/>
      <c r="FY315" s="168">
        <v>1020</v>
      </c>
      <c r="FZ315" s="168">
        <v>1168</v>
      </c>
      <c r="GA315" s="21"/>
      <c r="GB315" s="21"/>
      <c r="GC315" s="21"/>
      <c r="GD315" s="21"/>
      <c r="GE315" s="21"/>
      <c r="GF315" s="21"/>
      <c r="GG315" s="21"/>
      <c r="GH315" s="21"/>
      <c r="GI315" s="21"/>
      <c r="GJ315" s="21"/>
      <c r="GK315" s="21"/>
      <c r="GL315" s="21"/>
      <c r="GM315" s="168">
        <v>1462716</v>
      </c>
      <c r="GN315" s="168">
        <v>1437416</v>
      </c>
      <c r="GO315" s="168">
        <v>1696851</v>
      </c>
      <c r="GP315" s="168">
        <v>1671699</v>
      </c>
      <c r="GQ315" s="21"/>
      <c r="GR315" s="21"/>
      <c r="GS315" s="21"/>
      <c r="GT315" s="21"/>
      <c r="GU315" s="168">
        <v>10739</v>
      </c>
      <c r="GV315" s="168">
        <v>227427</v>
      </c>
      <c r="GW315" s="168">
        <v>12183</v>
      </c>
      <c r="GX315" s="168">
        <v>563840</v>
      </c>
      <c r="GY315" s="21"/>
      <c r="GZ315" s="21"/>
      <c r="HA315" s="21"/>
      <c r="HB315" s="21"/>
      <c r="HC315" s="168">
        <v>4704383</v>
      </c>
      <c r="HD315" s="168">
        <v>4736356</v>
      </c>
      <c r="HE315" s="21"/>
      <c r="HF315" s="21"/>
      <c r="HG315" s="21"/>
      <c r="HH315" s="21"/>
      <c r="HI315" s="168">
        <v>489206</v>
      </c>
      <c r="HJ315" s="168">
        <v>529186</v>
      </c>
      <c r="HK315" s="21"/>
      <c r="HL315" s="21"/>
      <c r="HM315" s="21"/>
      <c r="HN315" s="21"/>
      <c r="HO315" s="21"/>
      <c r="HP315" s="21"/>
      <c r="HQ315" s="21"/>
      <c r="HR315" s="21"/>
      <c r="HS315" s="21"/>
      <c r="HT315" s="21"/>
      <c r="HU315" s="168">
        <v>1721119</v>
      </c>
      <c r="HV315" s="168">
        <v>1879792</v>
      </c>
      <c r="HW315" s="21"/>
      <c r="HX315" s="21"/>
      <c r="HY315" s="168">
        <v>33985</v>
      </c>
      <c r="HZ315" s="168">
        <v>81299</v>
      </c>
      <c r="IA315" s="21"/>
      <c r="IB315" s="21"/>
      <c r="IC315" s="21"/>
      <c r="ID315" s="21"/>
      <c r="IE315" s="168">
        <v>1444505</v>
      </c>
      <c r="IF315" s="168">
        <v>1396495</v>
      </c>
      <c r="IG315" s="21"/>
      <c r="IH315" s="21"/>
      <c r="II315" s="21"/>
      <c r="IJ315" s="21"/>
      <c r="IK315" s="21"/>
      <c r="IL315" s="21"/>
      <c r="IM315" s="21"/>
      <c r="IN315" s="21"/>
      <c r="IO315" s="21"/>
      <c r="IP315" s="21"/>
      <c r="IQ315" s="21"/>
      <c r="IR315" s="21"/>
      <c r="IS315" s="21"/>
      <c r="IT315" s="21"/>
      <c r="IU315" s="168">
        <v>2014659</v>
      </c>
      <c r="IV315" s="168">
        <v>1692290</v>
      </c>
      <c r="IW315" s="168">
        <v>2987963</v>
      </c>
      <c r="IX315" s="168">
        <v>2794575</v>
      </c>
      <c r="IY315" s="168">
        <v>-973304</v>
      </c>
      <c r="IZ315" s="168">
        <v>-1102285</v>
      </c>
      <c r="JA315" s="168">
        <v>264183</v>
      </c>
      <c r="JB315" s="168">
        <v>161011</v>
      </c>
      <c r="JC315" s="21"/>
      <c r="JD315" s="21"/>
      <c r="JE315" s="21"/>
      <c r="JF315" s="21"/>
      <c r="JG315" s="168">
        <v>78524</v>
      </c>
      <c r="JH315" s="168">
        <v>25193</v>
      </c>
      <c r="JI315" s="168">
        <v>77136429</v>
      </c>
      <c r="JJ315" s="168">
        <v>76587576</v>
      </c>
      <c r="JK315" s="168">
        <v>975001</v>
      </c>
      <c r="JL315" s="168">
        <v>1105060</v>
      </c>
      <c r="JM315" s="168">
        <v>831913</v>
      </c>
      <c r="JN315" s="168">
        <v>715390</v>
      </c>
      <c r="JO315" s="168">
        <v>1697</v>
      </c>
      <c r="JP315" s="168">
        <v>2775</v>
      </c>
      <c r="JQ315" s="21"/>
      <c r="JR315" s="21"/>
      <c r="JS315" s="21"/>
      <c r="JT315" s="21"/>
      <c r="JU315" s="21"/>
      <c r="JV315" s="21"/>
      <c r="JW315" s="168">
        <v>79292479</v>
      </c>
      <c r="JX315" s="168">
        <v>78666761</v>
      </c>
      <c r="JY315" s="21"/>
      <c r="JZ315" s="21"/>
      <c r="KA315" s="21"/>
      <c r="KB315" s="21"/>
      <c r="KC315" s="21"/>
      <c r="KD315" s="21"/>
      <c r="KE315" s="21"/>
      <c r="KF315" s="21"/>
      <c r="KG315" s="21"/>
      <c r="KH315" s="21"/>
      <c r="KI315" s="168">
        <v>73602983</v>
      </c>
      <c r="KJ315" s="168">
        <v>72961512</v>
      </c>
      <c r="KK315" s="21"/>
      <c r="KL315" s="21"/>
      <c r="KM315" s="21"/>
      <c r="KN315" s="21"/>
      <c r="KO315" s="21"/>
      <c r="KP315" s="21"/>
      <c r="KQ315" s="168">
        <v>469738</v>
      </c>
      <c r="KR315" s="168">
        <v>418318</v>
      </c>
      <c r="KS315" s="21"/>
      <c r="KT315" s="21"/>
      <c r="KU315" s="21"/>
      <c r="KV315" s="21"/>
      <c r="KW315" s="21"/>
      <c r="KX315" s="21"/>
      <c r="KY315" s="21"/>
      <c r="KZ315" s="21"/>
      <c r="LA315" s="168">
        <v>40000</v>
      </c>
      <c r="LB315" s="168">
        <v>40000</v>
      </c>
      <c r="LC315" s="21"/>
      <c r="LD315" s="21"/>
      <c r="LE315" s="21"/>
      <c r="LF315" s="21"/>
      <c r="LG315" s="21"/>
      <c r="LH315" s="21"/>
      <c r="LI315" s="168">
        <v>2546645</v>
      </c>
      <c r="LJ315" s="168">
        <v>2916732</v>
      </c>
      <c r="LK315" s="168">
        <v>5508185</v>
      </c>
      <c r="LL315" s="168">
        <v>6015061</v>
      </c>
      <c r="LM315" s="168">
        <v>61365</v>
      </c>
      <c r="LN315" s="168">
        <v>14321</v>
      </c>
      <c r="LO315" s="21"/>
      <c r="LP315" s="21"/>
      <c r="LQ315" s="21"/>
      <c r="LR315" s="21"/>
      <c r="LS315" s="21"/>
      <c r="LT315" s="21"/>
      <c r="LU315" s="21"/>
      <c r="LV315" s="21"/>
      <c r="LW315" s="21"/>
      <c r="LX315" s="21"/>
      <c r="LY315" s="21"/>
      <c r="LZ315" s="21"/>
      <c r="MA315" s="21"/>
      <c r="MB315" s="21"/>
      <c r="MC315" s="168">
        <v>28686655</v>
      </c>
      <c r="MD315" s="168">
        <v>30007235</v>
      </c>
      <c r="ME315" s="21"/>
      <c r="MF315" s="21"/>
      <c r="MG315" s="21"/>
      <c r="MH315" s="21"/>
      <c r="MI315" s="21"/>
      <c r="MJ315" s="21"/>
      <c r="MK315" s="21"/>
      <c r="ML315" s="21"/>
      <c r="MM315" s="21"/>
      <c r="MN315" s="21"/>
      <c r="MO315" s="21"/>
      <c r="MP315" s="21"/>
      <c r="MQ315" s="21"/>
      <c r="MR315" s="21"/>
      <c r="MS315" s="21"/>
      <c r="MT315" s="21"/>
      <c r="MU315" s="21"/>
      <c r="MV315" s="21"/>
      <c r="MW315" s="21"/>
      <c r="MX315" s="21"/>
      <c r="MY315" s="21"/>
      <c r="MZ315" s="21"/>
      <c r="NA315" s="21"/>
      <c r="NB315" s="21"/>
      <c r="NC315" s="168">
        <v>1462716</v>
      </c>
      <c r="ND315" s="168">
        <v>1437416</v>
      </c>
      <c r="NE315" s="21"/>
      <c r="NF315" s="21"/>
      <c r="NG315" s="168">
        <v>4154185</v>
      </c>
      <c r="NH315" s="168">
        <v>2841444</v>
      </c>
      <c r="NI315" s="21"/>
      <c r="NJ315" s="21"/>
      <c r="NK315" s="21"/>
      <c r="NL315" s="21"/>
      <c r="NM315" s="168">
        <v>37272588</v>
      </c>
      <c r="NN315" s="168">
        <v>39371667</v>
      </c>
      <c r="NO315" s="168">
        <v>42088133</v>
      </c>
      <c r="NP315" s="168">
        <v>42919814</v>
      </c>
      <c r="NQ315" s="168" t="s">
        <v>959</v>
      </c>
      <c r="NR315" s="168" t="s">
        <v>769</v>
      </c>
      <c r="NS315" s="168" t="s">
        <v>770</v>
      </c>
      <c r="NT315" s="168" t="s">
        <v>771</v>
      </c>
      <c r="NU315" s="168">
        <v>5952</v>
      </c>
      <c r="NV315" s="168" t="s">
        <v>2104</v>
      </c>
      <c r="NW315" s="168" t="s">
        <v>28</v>
      </c>
      <c r="NX315" s="168" t="s">
        <v>25</v>
      </c>
      <c r="NY315" s="169">
        <v>42766</v>
      </c>
      <c r="NZ315" s="169">
        <v>42400</v>
      </c>
      <c r="OA315" s="169">
        <v>42961</v>
      </c>
      <c r="OB315" s="168" t="s">
        <v>960</v>
      </c>
      <c r="OC315" s="168">
        <v>12</v>
      </c>
      <c r="OD315" s="168" t="s">
        <v>2105</v>
      </c>
      <c r="OE315" s="168" t="s">
        <v>2192</v>
      </c>
      <c r="OF315" s="168" t="s">
        <v>2193</v>
      </c>
      <c r="OG315" s="168" t="s">
        <v>1837</v>
      </c>
      <c r="OH315" s="168" t="s">
        <v>848</v>
      </c>
      <c r="OI315" s="168" t="s">
        <v>766</v>
      </c>
      <c r="OJ315" s="168" t="s">
        <v>3240</v>
      </c>
      <c r="OK315" s="168" t="s">
        <v>767</v>
      </c>
    </row>
    <row r="316" spans="1:401" x14ac:dyDescent="0.2">
      <c r="A316" s="170" t="str">
        <f>Liste[[#This Row],[Siren]]</f>
        <v>302135405</v>
      </c>
      <c r="B316" s="198" t="str">
        <f>Liste[[#This Row],[Dénomination]]&amp;" - comptes "&amp;YEAR(Liste[[#This Row],[Date de cloture de l''exercice]])</f>
        <v>SOCIETE ANGEVINE D EDITION ET DE LIBRAIRIE - comptes 2017</v>
      </c>
      <c r="C316" s="21"/>
      <c r="D316" s="21"/>
      <c r="E316" s="21"/>
      <c r="F316" s="168">
        <v>1098912</v>
      </c>
      <c r="G316" s="168">
        <v>1339379</v>
      </c>
      <c r="H316" s="168">
        <v>1098912</v>
      </c>
      <c r="I316" s="168">
        <v>2198189</v>
      </c>
      <c r="J316" s="168">
        <v>640447</v>
      </c>
      <c r="K316" s="168">
        <v>677556</v>
      </c>
      <c r="L316" s="168">
        <v>2838636</v>
      </c>
      <c r="M316" s="21"/>
      <c r="N316" s="168">
        <v>25980</v>
      </c>
      <c r="O316" s="168">
        <v>25980</v>
      </c>
      <c r="P316" s="168">
        <v>25980</v>
      </c>
      <c r="Q316" s="21"/>
      <c r="R316" s="21"/>
      <c r="S316" s="21"/>
      <c r="T316" s="21"/>
      <c r="U316" s="21"/>
      <c r="V316" s="21"/>
      <c r="W316" s="21"/>
      <c r="X316" s="21"/>
      <c r="Y316" s="21"/>
      <c r="Z316" s="168">
        <v>151193</v>
      </c>
      <c r="AA316" s="168">
        <v>18579</v>
      </c>
      <c r="AB316" s="168">
        <v>151193</v>
      </c>
      <c r="AC316" s="21"/>
      <c r="AD316" s="168">
        <v>120810</v>
      </c>
      <c r="AE316" s="21"/>
      <c r="AF316" s="168">
        <v>120810</v>
      </c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168">
        <v>299634</v>
      </c>
      <c r="BA316" s="168">
        <v>265390</v>
      </c>
      <c r="BB316" s="168">
        <v>299634</v>
      </c>
      <c r="BC316" s="168">
        <v>7035</v>
      </c>
      <c r="BD316" s="168">
        <v>2035810</v>
      </c>
      <c r="BE316" s="168">
        <v>2184826</v>
      </c>
      <c r="BF316" s="168">
        <v>2042845</v>
      </c>
      <c r="BG316" s="168">
        <v>488828</v>
      </c>
      <c r="BH316" s="168">
        <v>27024</v>
      </c>
      <c r="BI316" s="168">
        <v>58512</v>
      </c>
      <c r="BJ316" s="168">
        <v>515852</v>
      </c>
      <c r="BK316" s="168">
        <v>906428</v>
      </c>
      <c r="BL316" s="168">
        <v>3111241</v>
      </c>
      <c r="BM316" s="168">
        <v>3199363</v>
      </c>
      <c r="BN316" s="168">
        <v>4017669</v>
      </c>
      <c r="BO316" s="21"/>
      <c r="BP316" s="21"/>
      <c r="BQ316" s="21"/>
      <c r="BR316" s="21"/>
      <c r="BS316" s="21"/>
      <c r="BT316" s="21"/>
      <c r="BU316" s="21"/>
      <c r="BV316" s="21"/>
      <c r="BW316" s="21"/>
      <c r="BX316" s="168">
        <v>1994522</v>
      </c>
      <c r="BY316" s="168">
        <v>1319466</v>
      </c>
      <c r="BZ316" s="168">
        <v>1994522</v>
      </c>
      <c r="CA316" s="21"/>
      <c r="CB316" s="21"/>
      <c r="CC316" s="21"/>
      <c r="CD316" s="168">
        <v>45709</v>
      </c>
      <c r="CE316" s="168">
        <v>22855</v>
      </c>
      <c r="CF316" s="168">
        <v>45709</v>
      </c>
      <c r="CG316" s="168">
        <v>68564</v>
      </c>
      <c r="CH316" s="21"/>
      <c r="CI316" s="21"/>
      <c r="CJ316" s="21"/>
      <c r="CK316" s="21"/>
      <c r="CL316" s="21"/>
      <c r="CM316" s="21"/>
      <c r="CN316" s="21"/>
      <c r="CO316" s="21"/>
      <c r="CP316" s="168">
        <v>166169</v>
      </c>
      <c r="CQ316" s="21"/>
      <c r="CR316" s="21"/>
      <c r="CS316" s="168">
        <v>166169</v>
      </c>
      <c r="CT316" s="21"/>
      <c r="CU316" s="21"/>
      <c r="CV316" s="21"/>
      <c r="CW316" s="21"/>
      <c r="CX316" s="21"/>
      <c r="CY316" s="21"/>
      <c r="CZ316" s="21"/>
      <c r="DA316" s="21"/>
      <c r="DB316" s="21"/>
      <c r="DC316" s="168">
        <v>11750</v>
      </c>
      <c r="DD316" s="21"/>
      <c r="DE316" s="168">
        <v>11750</v>
      </c>
      <c r="DF316" s="168">
        <v>613138</v>
      </c>
      <c r="DG316" s="168">
        <v>764438</v>
      </c>
      <c r="DH316" s="168">
        <v>874816</v>
      </c>
      <c r="DI316" s="168">
        <v>1377575</v>
      </c>
      <c r="DJ316" s="21"/>
      <c r="DK316" s="21"/>
      <c r="DL316" s="21"/>
      <c r="DM316" s="21"/>
      <c r="DN316" s="21"/>
      <c r="DO316" s="21"/>
      <c r="DP316" s="21"/>
      <c r="DQ316" s="21"/>
      <c r="DR316" s="21"/>
      <c r="DS316" s="21"/>
      <c r="DT316" s="21"/>
      <c r="DU316" s="21"/>
      <c r="DV316" s="21"/>
      <c r="DW316" s="168">
        <v>1291</v>
      </c>
      <c r="DX316" s="168">
        <v>2677</v>
      </c>
      <c r="DY316" s="168">
        <v>1291</v>
      </c>
      <c r="DZ316" s="21"/>
      <c r="EA316" s="21"/>
      <c r="EB316" s="21"/>
      <c r="EC316" s="21"/>
      <c r="ED316" s="21"/>
      <c r="EE316" s="21"/>
      <c r="EF316" s="21"/>
      <c r="EG316" s="21"/>
      <c r="EH316" s="21"/>
      <c r="EI316" s="21"/>
      <c r="EJ316" s="21"/>
      <c r="EK316" s="168">
        <v>4418461</v>
      </c>
      <c r="EL316" s="168">
        <v>5599651</v>
      </c>
      <c r="EM316" s="168">
        <v>5625815</v>
      </c>
      <c r="EN316" s="168">
        <v>10018112</v>
      </c>
      <c r="EO316" s="168">
        <v>148506</v>
      </c>
      <c r="EP316" s="168">
        <v>10711485</v>
      </c>
      <c r="EQ316" s="168">
        <v>10038358</v>
      </c>
      <c r="ER316" s="168">
        <v>10859991</v>
      </c>
      <c r="ES316" s="168">
        <v>4566967</v>
      </c>
      <c r="ET316" s="168">
        <v>16311136</v>
      </c>
      <c r="EU316" s="168">
        <v>15664172</v>
      </c>
      <c r="EV316" s="168">
        <v>20878103</v>
      </c>
      <c r="EW316" s="21"/>
      <c r="EX316" s="168">
        <v>722623</v>
      </c>
      <c r="EY316" s="168">
        <v>722623</v>
      </c>
      <c r="EZ316" s="168">
        <v>722623</v>
      </c>
      <c r="FA316" s="21"/>
      <c r="FB316" s="21"/>
      <c r="FC316" s="21"/>
      <c r="FD316" s="21"/>
      <c r="FE316" s="21"/>
      <c r="FF316" s="168">
        <v>365665</v>
      </c>
      <c r="FG316" s="168">
        <v>360266</v>
      </c>
      <c r="FH316" s="168">
        <v>365665</v>
      </c>
      <c r="FI316" s="168">
        <v>69882</v>
      </c>
      <c r="FJ316" s="168">
        <v>76843</v>
      </c>
      <c r="FK316" s="21"/>
      <c r="FL316" s="21"/>
      <c r="FM316" s="168">
        <v>394</v>
      </c>
      <c r="FN316" s="168">
        <v>8589</v>
      </c>
      <c r="FO316" s="168">
        <v>2387</v>
      </c>
      <c r="FP316" s="168">
        <v>5442</v>
      </c>
      <c r="FQ316" s="168">
        <v>22855</v>
      </c>
      <c r="FR316" s="168">
        <v>22855</v>
      </c>
      <c r="FS316" s="168">
        <v>2152</v>
      </c>
      <c r="FT316" s="168">
        <v>673</v>
      </c>
      <c r="FU316" s="168">
        <v>-63747</v>
      </c>
      <c r="FV316" s="168">
        <v>-8020</v>
      </c>
      <c r="FW316" s="168">
        <v>262721</v>
      </c>
      <c r="FX316" s="168">
        <v>126336</v>
      </c>
      <c r="FY316" s="168">
        <v>102472</v>
      </c>
      <c r="FZ316" s="168">
        <v>99520</v>
      </c>
      <c r="GA316" s="21"/>
      <c r="GB316" s="21"/>
      <c r="GC316" s="168">
        <v>21549</v>
      </c>
      <c r="GD316" s="168">
        <v>90880</v>
      </c>
      <c r="GE316" s="168">
        <v>53267</v>
      </c>
      <c r="GF316" s="168">
        <v>667</v>
      </c>
      <c r="GG316" s="21"/>
      <c r="GH316" s="21"/>
      <c r="GI316" s="21"/>
      <c r="GJ316" s="21"/>
      <c r="GK316" s="21"/>
      <c r="GL316" s="21"/>
      <c r="GM316" s="168">
        <v>591063</v>
      </c>
      <c r="GN316" s="168">
        <v>414556</v>
      </c>
      <c r="GO316" s="168">
        <v>613918</v>
      </c>
      <c r="GP316" s="168">
        <v>437411</v>
      </c>
      <c r="GQ316" s="21"/>
      <c r="GR316" s="21"/>
      <c r="GS316" s="21"/>
      <c r="GT316" s="21"/>
      <c r="GU316" s="168">
        <v>4934</v>
      </c>
      <c r="GV316" s="168">
        <v>14704</v>
      </c>
      <c r="GW316" s="168">
        <v>74816</v>
      </c>
      <c r="GX316" s="168">
        <v>91547</v>
      </c>
      <c r="GY316" s="168">
        <v>33586645</v>
      </c>
      <c r="GZ316" s="168">
        <v>25179575</v>
      </c>
      <c r="HA316" s="168">
        <v>31613</v>
      </c>
      <c r="HB316" s="168">
        <v>38974</v>
      </c>
      <c r="HC316" s="168">
        <v>5632781</v>
      </c>
      <c r="HD316" s="168">
        <v>5209701</v>
      </c>
      <c r="HE316" s="168">
        <v>24824</v>
      </c>
      <c r="HF316" s="168">
        <v>24253</v>
      </c>
      <c r="HG316" s="168">
        <v>17570</v>
      </c>
      <c r="HH316" s="168">
        <v>18236</v>
      </c>
      <c r="HI316" s="168">
        <v>97763</v>
      </c>
      <c r="HJ316" s="168">
        <v>88230</v>
      </c>
      <c r="HK316" s="21"/>
      <c r="HL316" s="21"/>
      <c r="HM316" s="21"/>
      <c r="HN316" s="21"/>
      <c r="HO316" s="168">
        <v>1596251</v>
      </c>
      <c r="HP316" s="168">
        <v>1446308</v>
      </c>
      <c r="HQ316" s="168">
        <v>31</v>
      </c>
      <c r="HR316" s="168">
        <v>218</v>
      </c>
      <c r="HS316" s="168">
        <v>38</v>
      </c>
      <c r="HT316" s="168">
        <v>20</v>
      </c>
      <c r="HU316" s="168">
        <v>491618</v>
      </c>
      <c r="HV316" s="168">
        <v>494011</v>
      </c>
      <c r="HW316" s="21"/>
      <c r="HX316" s="21"/>
      <c r="HY316" s="168">
        <v>81073</v>
      </c>
      <c r="HZ316" s="21"/>
      <c r="IA316" s="168">
        <v>142651</v>
      </c>
      <c r="IB316" s="168">
        <v>129660</v>
      </c>
      <c r="IC316" s="21"/>
      <c r="ID316" s="21"/>
      <c r="IE316" s="168">
        <v>454381</v>
      </c>
      <c r="IF316" s="168">
        <v>420647</v>
      </c>
      <c r="IG316" s="168">
        <v>107594</v>
      </c>
      <c r="IH316" s="168">
        <v>158367</v>
      </c>
      <c r="II316" s="21"/>
      <c r="IJ316" s="21"/>
      <c r="IK316" s="21"/>
      <c r="IL316" s="21"/>
      <c r="IM316" s="21"/>
      <c r="IN316" s="21"/>
      <c r="IO316" s="21"/>
      <c r="IP316" s="21"/>
      <c r="IQ316" s="168">
        <v>229</v>
      </c>
      <c r="IR316" s="168">
        <v>281</v>
      </c>
      <c r="IS316" s="168">
        <v>1</v>
      </c>
      <c r="IT316" s="168">
        <v>14</v>
      </c>
      <c r="IU316" s="168">
        <v>743009</v>
      </c>
      <c r="IV316" s="168">
        <v>478884</v>
      </c>
      <c r="IW316" s="168">
        <v>832797</v>
      </c>
      <c r="IX316" s="168">
        <v>618919</v>
      </c>
      <c r="IY316" s="168">
        <v>-89788</v>
      </c>
      <c r="IZ316" s="168">
        <v>-140035</v>
      </c>
      <c r="JA316" s="168">
        <v>467549</v>
      </c>
      <c r="JB316" s="168">
        <v>522429</v>
      </c>
      <c r="JC316" s="21"/>
      <c r="JD316" s="21"/>
      <c r="JE316" s="168">
        <v>4513998</v>
      </c>
      <c r="JF316" s="168">
        <v>4101017</v>
      </c>
      <c r="JG316" s="168">
        <v>36633</v>
      </c>
      <c r="JH316" s="168">
        <v>15796</v>
      </c>
      <c r="JI316" s="168">
        <v>46259333</v>
      </c>
      <c r="JJ316" s="168">
        <v>36788483</v>
      </c>
      <c r="JK316" s="168">
        <v>107625</v>
      </c>
      <c r="JL316" s="168">
        <v>158585</v>
      </c>
      <c r="JM316" s="168">
        <v>47092130</v>
      </c>
      <c r="JN316" s="168">
        <v>37407401</v>
      </c>
      <c r="JO316" s="168">
        <v>17837</v>
      </c>
      <c r="JP316" s="168">
        <v>18551</v>
      </c>
      <c r="JQ316" s="168">
        <v>-296485</v>
      </c>
      <c r="JR316" s="168">
        <v>-256231</v>
      </c>
      <c r="JS316" s="168">
        <v>-18</v>
      </c>
      <c r="JT316" s="168">
        <v>568</v>
      </c>
      <c r="JU316" s="21"/>
      <c r="JV316" s="21"/>
      <c r="JW316" s="168">
        <v>46490185</v>
      </c>
      <c r="JX316" s="168">
        <v>36780946</v>
      </c>
      <c r="JY316" s="21"/>
      <c r="JZ316" s="21"/>
      <c r="KA316" s="21"/>
      <c r="KB316" s="21"/>
      <c r="KC316" s="21"/>
      <c r="KD316" s="21"/>
      <c r="KE316" s="21"/>
      <c r="KF316" s="21"/>
      <c r="KG316" s="21"/>
      <c r="KH316" s="21"/>
      <c r="KI316" s="168">
        <v>46210641</v>
      </c>
      <c r="KJ316" s="168">
        <v>36532506</v>
      </c>
      <c r="KK316" s="21"/>
      <c r="KL316" s="21"/>
      <c r="KM316" s="21"/>
      <c r="KN316" s="21"/>
      <c r="KO316" s="21"/>
      <c r="KP316" s="21"/>
      <c r="KQ316" s="168">
        <v>333013</v>
      </c>
      <c r="KR316" s="168">
        <v>61008</v>
      </c>
      <c r="KS316" s="21"/>
      <c r="KT316" s="21"/>
      <c r="KU316" s="21"/>
      <c r="KV316" s="21"/>
      <c r="KW316" s="21"/>
      <c r="KX316" s="21"/>
      <c r="KY316" s="168">
        <v>338513</v>
      </c>
      <c r="KZ316" s="168">
        <v>335498</v>
      </c>
      <c r="LA316" s="168">
        <v>121965</v>
      </c>
      <c r="LB316" s="168">
        <v>122740</v>
      </c>
      <c r="LC316" s="21"/>
      <c r="LD316" s="21"/>
      <c r="LE316" s="21"/>
      <c r="LF316" s="21"/>
      <c r="LG316" s="21"/>
      <c r="LH316" s="21"/>
      <c r="LI316" s="168">
        <v>1433373</v>
      </c>
      <c r="LJ316" s="168">
        <v>1272855</v>
      </c>
      <c r="LK316" s="168">
        <v>2747844</v>
      </c>
      <c r="LL316" s="168">
        <v>2607637</v>
      </c>
      <c r="LM316" s="21"/>
      <c r="LN316" s="21"/>
      <c r="LO316" s="21"/>
      <c r="LP316" s="21"/>
      <c r="LQ316" s="21"/>
      <c r="LR316" s="21"/>
      <c r="LS316" s="21"/>
      <c r="LT316" s="21"/>
      <c r="LU316" s="21"/>
      <c r="LV316" s="21"/>
      <c r="LW316" s="21"/>
      <c r="LX316" s="21"/>
      <c r="LY316" s="21"/>
      <c r="LZ316" s="21"/>
      <c r="MA316" s="168">
        <v>4093266</v>
      </c>
      <c r="MB316" s="168">
        <v>4390137</v>
      </c>
      <c r="MC316" s="168">
        <v>3976</v>
      </c>
      <c r="MD316" s="168">
        <v>213976</v>
      </c>
      <c r="ME316" s="21"/>
      <c r="MF316" s="21"/>
      <c r="MG316" s="21"/>
      <c r="MH316" s="21"/>
      <c r="MI316" s="21"/>
      <c r="MJ316" s="21"/>
      <c r="MK316" s="21"/>
      <c r="ML316" s="21"/>
      <c r="MM316" s="21"/>
      <c r="MN316" s="168">
        <v>2048</v>
      </c>
      <c r="MO316" s="21"/>
      <c r="MP316" s="21"/>
      <c r="MQ316" s="21"/>
      <c r="MR316" s="21"/>
      <c r="MS316" s="21"/>
      <c r="MT316" s="21"/>
      <c r="MU316" s="21"/>
      <c r="MV316" s="21"/>
      <c r="MW316" s="21"/>
      <c r="MX316" s="21"/>
      <c r="MY316" s="21"/>
      <c r="MZ316" s="21"/>
      <c r="NA316" s="21"/>
      <c r="NB316" s="21"/>
      <c r="NC316" s="168">
        <v>5939249</v>
      </c>
      <c r="ND316" s="168">
        <v>5451887</v>
      </c>
      <c r="NE316" s="21"/>
      <c r="NF316" s="21"/>
      <c r="NG316" s="168">
        <v>6061214</v>
      </c>
      <c r="NH316" s="168">
        <v>5574627</v>
      </c>
      <c r="NI316" s="21"/>
      <c r="NJ316" s="21"/>
      <c r="NK316" s="21"/>
      <c r="NL316" s="21"/>
      <c r="NM316" s="168">
        <v>8949986</v>
      </c>
      <c r="NN316" s="168">
        <v>8883159</v>
      </c>
      <c r="NO316" s="168">
        <v>16311136</v>
      </c>
      <c r="NP316" s="168">
        <v>15664172</v>
      </c>
      <c r="NQ316" s="168" t="s">
        <v>964</v>
      </c>
      <c r="NR316" s="168" t="s">
        <v>965</v>
      </c>
      <c r="NS316" s="168" t="s">
        <v>770</v>
      </c>
      <c r="NT316" s="168" t="s">
        <v>771</v>
      </c>
      <c r="NU316" s="168">
        <v>4901</v>
      </c>
      <c r="NV316" s="168" t="s">
        <v>2104</v>
      </c>
      <c r="NW316" s="168" t="s">
        <v>28</v>
      </c>
      <c r="NX316" s="168" t="s">
        <v>25</v>
      </c>
      <c r="NY316" s="169">
        <v>42766</v>
      </c>
      <c r="NZ316" s="169">
        <v>42400</v>
      </c>
      <c r="OA316" s="169">
        <v>42954</v>
      </c>
      <c r="OB316" s="168" t="s">
        <v>966</v>
      </c>
      <c r="OC316" s="168">
        <v>12</v>
      </c>
      <c r="OD316" s="168" t="s">
        <v>2105</v>
      </c>
      <c r="OE316" s="168" t="s">
        <v>2194</v>
      </c>
      <c r="OF316" s="168" t="s">
        <v>2195</v>
      </c>
      <c r="OG316" s="168" t="s">
        <v>1838</v>
      </c>
      <c r="OH316" s="168" t="s">
        <v>798</v>
      </c>
      <c r="OI316" s="168" t="s">
        <v>766</v>
      </c>
      <c r="OJ316" s="168" t="s">
        <v>3240</v>
      </c>
      <c r="OK316" s="168" t="s">
        <v>963</v>
      </c>
    </row>
    <row r="317" spans="1:401" x14ac:dyDescent="0.2">
      <c r="A317" s="170" t="str">
        <f>Liste[[#This Row],[Siren]]</f>
        <v>437833668</v>
      </c>
      <c r="B317" s="198" t="str">
        <f>Liste[[#This Row],[Dénomination]]&amp;" - comptes "&amp;YEAR(Liste[[#This Row],[Date de cloture de l''exercice]])</f>
        <v>FINANCIERE DE L ESSOR - comptes 2017</v>
      </c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168">
        <v>271000</v>
      </c>
      <c r="BE317" s="168">
        <v>335000</v>
      </c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  <c r="BS317" s="21"/>
      <c r="BT317" s="21"/>
      <c r="BU317" s="21"/>
      <c r="BV317" s="21"/>
      <c r="BW317" s="21"/>
      <c r="BX317" s="168">
        <v>13552000</v>
      </c>
      <c r="BY317" s="168">
        <v>1489000</v>
      </c>
      <c r="BZ317" s="21"/>
      <c r="CA317" s="21"/>
      <c r="CB317" s="21"/>
      <c r="CC317" s="21"/>
      <c r="CD317" s="21"/>
      <c r="CE317" s="21"/>
      <c r="CF317" s="21"/>
      <c r="CG317" s="21"/>
      <c r="CH317" s="21"/>
      <c r="CI317" s="21"/>
      <c r="CJ317" s="21"/>
      <c r="CK317" s="21"/>
      <c r="CL317" s="21"/>
      <c r="CM317" s="21"/>
      <c r="CN317" s="21"/>
      <c r="CO317" s="21"/>
      <c r="CP317" s="21"/>
      <c r="CQ317" s="21"/>
      <c r="CR317" s="21"/>
      <c r="CS317" s="21"/>
      <c r="CT317" s="21"/>
      <c r="CU317" s="21"/>
      <c r="CV317" s="21"/>
      <c r="CW317" s="21"/>
      <c r="CX317" s="21"/>
      <c r="CY317" s="21"/>
      <c r="CZ317" s="21"/>
      <c r="DA317" s="21"/>
      <c r="DB317" s="21"/>
      <c r="DC317" s="21"/>
      <c r="DD317" s="21"/>
      <c r="DE317" s="21"/>
      <c r="DF317" s="21"/>
      <c r="DG317" s="21"/>
      <c r="DH317" s="21"/>
      <c r="DI317" s="21"/>
      <c r="DJ317" s="21"/>
      <c r="DK317" s="21"/>
      <c r="DL317" s="21"/>
      <c r="DM317" s="21"/>
      <c r="DN317" s="21"/>
      <c r="DO317" s="21"/>
      <c r="DP317" s="21"/>
      <c r="DQ317" s="21"/>
      <c r="DR317" s="21"/>
      <c r="DS317" s="21"/>
      <c r="DT317" s="21"/>
      <c r="DU317" s="21"/>
      <c r="DV317" s="21"/>
      <c r="DW317" s="21"/>
      <c r="DX317" s="21"/>
      <c r="DY317" s="21"/>
      <c r="DZ317" s="21"/>
      <c r="EA317" s="21"/>
      <c r="EB317" s="21"/>
      <c r="EC317" s="21"/>
      <c r="ED317" s="21"/>
      <c r="EE317" s="21"/>
      <c r="EF317" s="21"/>
      <c r="EG317" s="21"/>
      <c r="EH317" s="21"/>
      <c r="EI317" s="21"/>
      <c r="EJ317" s="21"/>
      <c r="EK317" s="21"/>
      <c r="EL317" s="168">
        <v>21338000</v>
      </c>
      <c r="EM317" s="168">
        <v>21032000</v>
      </c>
      <c r="EN317" s="21"/>
      <c r="EO317" s="21"/>
      <c r="EP317" s="168">
        <v>27930000</v>
      </c>
      <c r="EQ317" s="168">
        <v>18124000</v>
      </c>
      <c r="ER317" s="21"/>
      <c r="ES317" s="21"/>
      <c r="ET317" s="168">
        <v>49268000</v>
      </c>
      <c r="EU317" s="168">
        <v>39156000</v>
      </c>
      <c r="EV317" s="21"/>
      <c r="EW317" s="21"/>
      <c r="EX317" s="21"/>
      <c r="EY317" s="21"/>
      <c r="EZ317" s="21"/>
      <c r="FA317" s="21"/>
      <c r="FB317" s="21"/>
      <c r="FC317" s="21"/>
      <c r="FD317" s="21"/>
      <c r="FE317" s="21"/>
      <c r="FF317" s="168">
        <v>4500000</v>
      </c>
      <c r="FG317" s="168">
        <v>7000000</v>
      </c>
      <c r="FH317" s="21"/>
      <c r="FI317" s="168">
        <v>-310000</v>
      </c>
      <c r="FJ317" s="168">
        <v>-63000</v>
      </c>
      <c r="FK317" s="21"/>
      <c r="FL317" s="21"/>
      <c r="FM317" s="21"/>
      <c r="FN317" s="21"/>
      <c r="FO317" s="21"/>
      <c r="FP317" s="21"/>
      <c r="FQ317" s="21"/>
      <c r="FR317" s="21"/>
      <c r="FS317" s="21"/>
      <c r="FT317" s="21"/>
      <c r="FU317" s="21"/>
      <c r="FV317" s="21"/>
      <c r="FW317" s="168">
        <v>701000</v>
      </c>
      <c r="FX317" s="168">
        <v>641000</v>
      </c>
      <c r="FY317" s="168">
        <v>7000</v>
      </c>
      <c r="FZ317" s="168">
        <v>6000</v>
      </c>
      <c r="GA317" s="21"/>
      <c r="GB317" s="21"/>
      <c r="GC317" s="21"/>
      <c r="GD317" s="21"/>
      <c r="GE317" s="21"/>
      <c r="GF317" s="21"/>
      <c r="GG317" s="21"/>
      <c r="GH317" s="21"/>
      <c r="GI317" s="21"/>
      <c r="GJ317" s="21"/>
      <c r="GK317" s="21"/>
      <c r="GL317" s="21"/>
      <c r="GM317" s="168">
        <v>1750000</v>
      </c>
      <c r="GN317" s="168">
        <v>1649000</v>
      </c>
      <c r="GO317" s="168">
        <v>1750000</v>
      </c>
      <c r="GP317" s="168">
        <v>1649000</v>
      </c>
      <c r="GQ317" s="21"/>
      <c r="GR317" s="21"/>
      <c r="GS317" s="168">
        <v>1743000</v>
      </c>
      <c r="GT317" s="168">
        <v>1643000</v>
      </c>
      <c r="GU317" s="21"/>
      <c r="GV317" s="21"/>
      <c r="GW317" s="21"/>
      <c r="GX317" s="21"/>
      <c r="GY317" s="21"/>
      <c r="GZ317" s="21"/>
      <c r="HA317" s="21"/>
      <c r="HB317" s="21"/>
      <c r="HC317" s="21"/>
      <c r="HD317" s="21"/>
      <c r="HE317" s="168">
        <v>74000</v>
      </c>
      <c r="HF317" s="168">
        <v>94000</v>
      </c>
      <c r="HG317" s="21"/>
      <c r="HH317" s="21"/>
      <c r="HI317" s="168">
        <v>1239000</v>
      </c>
      <c r="HJ317" s="168">
        <v>404000</v>
      </c>
      <c r="HK317" s="21"/>
      <c r="HL317" s="21"/>
      <c r="HM317" s="21"/>
      <c r="HN317" s="21"/>
      <c r="HO317" s="168">
        <v>9181000</v>
      </c>
      <c r="HP317" s="168">
        <v>8475000</v>
      </c>
      <c r="HQ317" s="21"/>
      <c r="HR317" s="21"/>
      <c r="HS317" s="21"/>
      <c r="HT317" s="21"/>
      <c r="HU317" s="21"/>
      <c r="HV317" s="21"/>
      <c r="HW317" s="21"/>
      <c r="HX317" s="21"/>
      <c r="HY317" s="21"/>
      <c r="HZ317" s="21"/>
      <c r="IA317" s="21"/>
      <c r="IB317" s="21"/>
      <c r="IC317" s="21"/>
      <c r="ID317" s="21"/>
      <c r="IE317" s="168">
        <v>1399000</v>
      </c>
      <c r="IF317" s="168">
        <v>1381000</v>
      </c>
      <c r="IG317" s="21"/>
      <c r="IH317" s="21"/>
      <c r="II317" s="21"/>
      <c r="IJ317" s="21"/>
      <c r="IK317" s="21"/>
      <c r="IL317" s="21"/>
      <c r="IM317" s="21"/>
      <c r="IN317" s="21"/>
      <c r="IO317" s="21"/>
      <c r="IP317" s="21"/>
      <c r="IQ317" s="21"/>
      <c r="IR317" s="21"/>
      <c r="IS317" s="21"/>
      <c r="IT317" s="21"/>
      <c r="IU317" s="168">
        <v>2761000</v>
      </c>
      <c r="IV317" s="168">
        <v>2353000</v>
      </c>
      <c r="IW317" s="168">
        <v>2608000</v>
      </c>
      <c r="IX317" s="168">
        <v>2450000</v>
      </c>
      <c r="IY317" s="168">
        <v>153000</v>
      </c>
      <c r="IZ317" s="168">
        <v>-97000</v>
      </c>
      <c r="JA317" s="21"/>
      <c r="JB317" s="21"/>
      <c r="JC317" s="21"/>
      <c r="JD317" s="21"/>
      <c r="JE317" s="21"/>
      <c r="JF317" s="21"/>
      <c r="JG317" s="21"/>
      <c r="JH317" s="21"/>
      <c r="JI317" s="21"/>
      <c r="JJ317" s="21"/>
      <c r="JK317" s="21"/>
      <c r="JL317" s="21"/>
      <c r="JM317" s="21"/>
      <c r="JN317" s="21"/>
      <c r="JO317" s="21"/>
      <c r="JP317" s="21"/>
      <c r="JQ317" s="21"/>
      <c r="JR317" s="21"/>
      <c r="JS317" s="21"/>
      <c r="JT317" s="21"/>
      <c r="JU317" s="21"/>
      <c r="JV317" s="21"/>
      <c r="JW317" s="21"/>
      <c r="JX317" s="21"/>
      <c r="JY317" s="21"/>
      <c r="JZ317" s="21"/>
      <c r="KA317" s="21"/>
      <c r="KB317" s="21"/>
      <c r="KC317" s="21"/>
      <c r="KD317" s="21"/>
      <c r="KE317" s="21"/>
      <c r="KF317" s="21"/>
      <c r="KG317" s="21"/>
      <c r="KH317" s="21"/>
      <c r="KI317" s="21"/>
      <c r="KJ317" s="21"/>
      <c r="KK317" s="21"/>
      <c r="KL317" s="21"/>
      <c r="KM317" s="21"/>
      <c r="KN317" s="21"/>
      <c r="KO317" s="21"/>
      <c r="KP317" s="21"/>
      <c r="KQ317" s="21"/>
      <c r="KR317" s="21"/>
      <c r="KS317" s="21"/>
      <c r="KT317" s="21"/>
      <c r="KU317" s="21"/>
      <c r="KV317" s="21"/>
      <c r="KW317" s="21"/>
      <c r="KX317" s="21"/>
      <c r="KY317" s="21"/>
      <c r="KZ317" s="21"/>
      <c r="LA317" s="168">
        <v>7350000</v>
      </c>
      <c r="LB317" s="168">
        <v>7350000</v>
      </c>
      <c r="LC317" s="21"/>
      <c r="LD317" s="21"/>
      <c r="LE317" s="21"/>
      <c r="LF317" s="21"/>
      <c r="LG317" s="21"/>
      <c r="LH317" s="21"/>
      <c r="LI317" s="21"/>
      <c r="LJ317" s="21"/>
      <c r="LK317" s="168">
        <v>4841000</v>
      </c>
      <c r="LL317" s="168">
        <v>4649000</v>
      </c>
      <c r="LM317" s="21"/>
      <c r="LN317" s="21"/>
      <c r="LO317" s="21"/>
      <c r="LP317" s="21"/>
      <c r="LQ317" s="21"/>
      <c r="LR317" s="21"/>
      <c r="LS317" s="21"/>
      <c r="LT317" s="21"/>
      <c r="LU317" s="21"/>
      <c r="LV317" s="21"/>
      <c r="LW317" s="21"/>
      <c r="LX317" s="21"/>
      <c r="LY317" s="21"/>
      <c r="LZ317" s="21"/>
      <c r="MA317" s="21"/>
      <c r="MB317" s="21"/>
      <c r="MC317" s="168">
        <v>19449000</v>
      </c>
      <c r="MD317" s="168">
        <v>11221000</v>
      </c>
      <c r="ME317" s="21"/>
      <c r="MF317" s="21"/>
      <c r="MG317" s="168">
        <v>2245000</v>
      </c>
      <c r="MH317" s="168">
        <v>2239000</v>
      </c>
      <c r="MI317" s="21"/>
      <c r="MJ317" s="21"/>
      <c r="MK317" s="21"/>
      <c r="ML317" s="21"/>
      <c r="MM317" s="21"/>
      <c r="MN317" s="21"/>
      <c r="MO317" s="21"/>
      <c r="MP317" s="21"/>
      <c r="MQ317" s="21"/>
      <c r="MR317" s="21"/>
      <c r="MS317" s="21"/>
      <c r="MT317" s="21"/>
      <c r="MU317" s="21"/>
      <c r="MV317" s="21"/>
      <c r="MW317" s="21"/>
      <c r="MX317" s="21"/>
      <c r="MY317" s="21"/>
      <c r="MZ317" s="21"/>
      <c r="NA317" s="21"/>
      <c r="NB317" s="21"/>
      <c r="NC317" s="168">
        <v>1743000</v>
      </c>
      <c r="ND317" s="168">
        <v>1643000</v>
      </c>
      <c r="NE317" s="21"/>
      <c r="NF317" s="21"/>
      <c r="NG317" s="168">
        <v>17251000</v>
      </c>
      <c r="NH317" s="168">
        <v>16511000</v>
      </c>
      <c r="NI317" s="21"/>
      <c r="NJ317" s="21"/>
      <c r="NK317" s="168">
        <v>66000</v>
      </c>
      <c r="NL317" s="168">
        <v>59000</v>
      </c>
      <c r="NM317" s="168">
        <v>28754000</v>
      </c>
      <c r="NN317" s="168">
        <v>19399000</v>
      </c>
      <c r="NO317" s="168">
        <v>49268000</v>
      </c>
      <c r="NP317" s="168">
        <v>39156000</v>
      </c>
      <c r="NQ317" s="168" t="s">
        <v>1413</v>
      </c>
      <c r="NR317" s="168" t="s">
        <v>769</v>
      </c>
      <c r="NS317" s="168" t="s">
        <v>770</v>
      </c>
      <c r="NT317" s="168" t="s">
        <v>771</v>
      </c>
      <c r="NU317" s="168">
        <v>6403</v>
      </c>
      <c r="NV317" s="168" t="s">
        <v>2104</v>
      </c>
      <c r="NW317" s="168" t="s">
        <v>28</v>
      </c>
      <c r="NX317" s="168" t="s">
        <v>25</v>
      </c>
      <c r="NY317" s="169">
        <v>42766</v>
      </c>
      <c r="NZ317" s="169">
        <v>42400</v>
      </c>
      <c r="OA317" s="169">
        <v>43011</v>
      </c>
      <c r="OB317" s="168" t="s">
        <v>1414</v>
      </c>
      <c r="OC317" s="168">
        <v>12</v>
      </c>
      <c r="OD317" s="168" t="s">
        <v>2105</v>
      </c>
      <c r="OE317" s="168" t="s">
        <v>2523</v>
      </c>
      <c r="OF317" s="168" t="s">
        <v>2524</v>
      </c>
      <c r="OG317" s="168" t="s">
        <v>2008</v>
      </c>
      <c r="OH317" s="168" t="s">
        <v>831</v>
      </c>
      <c r="OI317" s="168" t="s">
        <v>766</v>
      </c>
      <c r="OJ317" s="168" t="s">
        <v>3240</v>
      </c>
      <c r="OK317" s="168" t="s">
        <v>767</v>
      </c>
    </row>
    <row r="318" spans="1:401" x14ac:dyDescent="0.2">
      <c r="A318" s="170" t="str">
        <f>Liste[[#This Row],[Siren]]</f>
        <v>808246722</v>
      </c>
      <c r="B318" s="198" t="str">
        <f>Liste[[#This Row],[Dénomination]]&amp;" - comptes "&amp;YEAR(Liste[[#This Row],[Date de cloture de l''exercice]])</f>
        <v>SDC HOLDING - comptes 2017</v>
      </c>
      <c r="C318" s="21"/>
      <c r="D318" s="21"/>
      <c r="E318" s="21"/>
      <c r="F318" s="168">
        <v>873239</v>
      </c>
      <c r="G318" s="168">
        <v>335257</v>
      </c>
      <c r="H318" s="168">
        <v>873239</v>
      </c>
      <c r="I318" s="168">
        <v>3792828</v>
      </c>
      <c r="J318" s="168">
        <v>1385314</v>
      </c>
      <c r="K318" s="168">
        <v>1774705</v>
      </c>
      <c r="L318" s="168">
        <v>5178142</v>
      </c>
      <c r="M318" s="21"/>
      <c r="N318" s="168">
        <v>314794</v>
      </c>
      <c r="O318" s="168">
        <v>305285</v>
      </c>
      <c r="P318" s="168">
        <v>314794</v>
      </c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168">
        <v>270322</v>
      </c>
      <c r="BA318" s="168">
        <v>299597</v>
      </c>
      <c r="BB318" s="168">
        <v>270322</v>
      </c>
      <c r="BC318" s="21"/>
      <c r="BD318" s="168">
        <v>423928</v>
      </c>
      <c r="BE318" s="168">
        <v>511385</v>
      </c>
      <c r="BF318" s="168">
        <v>423928</v>
      </c>
      <c r="BG318" s="168">
        <v>131564</v>
      </c>
      <c r="BH318" s="168">
        <v>7916</v>
      </c>
      <c r="BI318" s="168">
        <v>9770</v>
      </c>
      <c r="BJ318" s="168">
        <v>139480</v>
      </c>
      <c r="BK318" s="168">
        <v>11038285</v>
      </c>
      <c r="BL318" s="168">
        <v>19845504</v>
      </c>
      <c r="BM318" s="168">
        <v>20898609</v>
      </c>
      <c r="BN318" s="168">
        <v>30883789</v>
      </c>
      <c r="BO318" s="21"/>
      <c r="BP318" s="21"/>
      <c r="BQ318" s="168">
        <v>783</v>
      </c>
      <c r="BR318" s="21"/>
      <c r="BS318" s="21"/>
      <c r="BT318" s="21"/>
      <c r="BU318" s="21"/>
      <c r="BV318" s="21"/>
      <c r="BW318" s="21"/>
      <c r="BX318" s="168">
        <v>5218508</v>
      </c>
      <c r="BY318" s="168">
        <v>4822834</v>
      </c>
      <c r="BZ318" s="168">
        <v>5218508</v>
      </c>
      <c r="CA318" s="21"/>
      <c r="CB318" s="21"/>
      <c r="CC318" s="21"/>
      <c r="CD318" s="21"/>
      <c r="CE318" s="168">
        <v>13278218</v>
      </c>
      <c r="CF318" s="168">
        <v>13765014</v>
      </c>
      <c r="CG318" s="168">
        <v>13278218</v>
      </c>
      <c r="CH318" s="21"/>
      <c r="CI318" s="21"/>
      <c r="CJ318" s="21"/>
      <c r="CK318" s="21"/>
      <c r="CL318" s="21"/>
      <c r="CM318" s="21"/>
      <c r="CN318" s="21"/>
      <c r="CO318" s="21"/>
      <c r="CP318" s="21"/>
      <c r="CQ318" s="21"/>
      <c r="CR318" s="21"/>
      <c r="CS318" s="21"/>
      <c r="CT318" s="21"/>
      <c r="CU318" s="21"/>
      <c r="CV318" s="21"/>
      <c r="CW318" s="21"/>
      <c r="CX318" s="21"/>
      <c r="CY318" s="21"/>
      <c r="CZ318" s="21"/>
      <c r="DA318" s="21"/>
      <c r="DB318" s="21"/>
      <c r="DC318" s="168">
        <v>20901</v>
      </c>
      <c r="DD318" s="168">
        <v>165036</v>
      </c>
      <c r="DE318" s="168">
        <v>20901</v>
      </c>
      <c r="DF318" s="168">
        <v>3235643</v>
      </c>
      <c r="DG318" s="168">
        <v>982781</v>
      </c>
      <c r="DH318" s="168">
        <v>1243065</v>
      </c>
      <c r="DI318" s="168">
        <v>4218424</v>
      </c>
      <c r="DJ318" s="168">
        <v>334116</v>
      </c>
      <c r="DK318" s="168">
        <v>11368999</v>
      </c>
      <c r="DL318" s="168">
        <v>10793128</v>
      </c>
      <c r="DM318" s="168">
        <v>11703115</v>
      </c>
      <c r="DN318" s="21"/>
      <c r="DO318" s="21"/>
      <c r="DP318" s="21"/>
      <c r="DQ318" s="21"/>
      <c r="DR318" s="21"/>
      <c r="DS318" s="21"/>
      <c r="DT318" s="21"/>
      <c r="DU318" s="21"/>
      <c r="DV318" s="21"/>
      <c r="DW318" s="168">
        <v>63130</v>
      </c>
      <c r="DX318" s="168">
        <v>63130</v>
      </c>
      <c r="DY318" s="168">
        <v>63130</v>
      </c>
      <c r="DZ318" s="21"/>
      <c r="EA318" s="21"/>
      <c r="EB318" s="21"/>
      <c r="EC318" s="21"/>
      <c r="ED318" s="21"/>
      <c r="EE318" s="21"/>
      <c r="EF318" s="21"/>
      <c r="EG318" s="21"/>
      <c r="EH318" s="21"/>
      <c r="EI318" s="21"/>
      <c r="EJ318" s="21"/>
      <c r="EK318" s="168">
        <v>18692151</v>
      </c>
      <c r="EL318" s="168">
        <v>28151678</v>
      </c>
      <c r="EM318" s="168">
        <v>29563132</v>
      </c>
      <c r="EN318" s="168">
        <v>46843829</v>
      </c>
      <c r="EO318" s="168">
        <v>334116</v>
      </c>
      <c r="EP318" s="168">
        <v>19167724</v>
      </c>
      <c r="EQ318" s="168">
        <v>17547914</v>
      </c>
      <c r="ER318" s="168">
        <v>19501840</v>
      </c>
      <c r="ES318" s="168">
        <v>19026267</v>
      </c>
      <c r="ET318" s="168">
        <v>60597622</v>
      </c>
      <c r="EU318" s="168">
        <v>60876063</v>
      </c>
      <c r="EV318" s="168">
        <v>79623889</v>
      </c>
      <c r="EW318" s="168">
        <v>493831</v>
      </c>
      <c r="EX318" s="168">
        <v>3687005</v>
      </c>
      <c r="EY318" s="168">
        <v>3336262</v>
      </c>
      <c r="EZ318" s="168">
        <v>4180836</v>
      </c>
      <c r="FA318" s="21"/>
      <c r="FB318" s="21"/>
      <c r="FC318" s="21"/>
      <c r="FD318" s="21"/>
      <c r="FE318" s="21"/>
      <c r="FF318" s="168">
        <v>1012728</v>
      </c>
      <c r="FG318" s="168">
        <v>785635</v>
      </c>
      <c r="FH318" s="168">
        <v>1012728</v>
      </c>
      <c r="FI318" s="168">
        <v>142881</v>
      </c>
      <c r="FJ318" s="168">
        <v>-14655</v>
      </c>
      <c r="FK318" s="21"/>
      <c r="FL318" s="21"/>
      <c r="FM318" s="168">
        <v>969606</v>
      </c>
      <c r="FN318" s="168">
        <v>48483</v>
      </c>
      <c r="FO318" s="168">
        <v>297416</v>
      </c>
      <c r="FP318" s="168">
        <v>6329</v>
      </c>
      <c r="FQ318" s="21"/>
      <c r="FR318" s="21"/>
      <c r="FS318" s="168">
        <v>5293</v>
      </c>
      <c r="FT318" s="168">
        <v>8480</v>
      </c>
      <c r="FU318" s="168">
        <v>-230599</v>
      </c>
      <c r="FV318" s="168">
        <v>-216192</v>
      </c>
      <c r="FW318" s="168">
        <v>1116744</v>
      </c>
      <c r="FX318" s="168">
        <v>947779</v>
      </c>
      <c r="FY318" s="168">
        <v>635560</v>
      </c>
      <c r="FZ318" s="168">
        <v>501600</v>
      </c>
      <c r="GA318" s="21"/>
      <c r="GB318" s="21"/>
      <c r="GC318" s="168">
        <v>937372</v>
      </c>
      <c r="GD318" s="168">
        <v>40893</v>
      </c>
      <c r="GE318" s="168">
        <v>463274</v>
      </c>
      <c r="GF318" s="168">
        <v>7744</v>
      </c>
      <c r="GG318" s="21"/>
      <c r="GH318" s="21"/>
      <c r="GI318" s="21"/>
      <c r="GJ318" s="21"/>
      <c r="GK318" s="168">
        <v>14550</v>
      </c>
      <c r="GL318" s="21"/>
      <c r="GM318" s="168">
        <v>2085017</v>
      </c>
      <c r="GN318" s="168">
        <v>1669273</v>
      </c>
      <c r="GO318" s="168">
        <v>2085017</v>
      </c>
      <c r="GP318" s="168">
        <v>1669273</v>
      </c>
      <c r="GQ318" s="21"/>
      <c r="GR318" s="21"/>
      <c r="GS318" s="168">
        <v>1449457</v>
      </c>
      <c r="GT318" s="168">
        <v>1167673</v>
      </c>
      <c r="GU318" s="168">
        <v>1272315</v>
      </c>
      <c r="GV318" s="168">
        <v>63292</v>
      </c>
      <c r="GW318" s="168">
        <v>1415196</v>
      </c>
      <c r="GX318" s="168">
        <v>48637</v>
      </c>
      <c r="GY318" s="168">
        <v>73073054</v>
      </c>
      <c r="GZ318" s="168">
        <v>71828826</v>
      </c>
      <c r="HA318" s="168">
        <v>365412</v>
      </c>
      <c r="HB318" s="168">
        <v>354111</v>
      </c>
      <c r="HC318" s="168">
        <v>5358299</v>
      </c>
      <c r="HD318" s="168">
        <v>5266985</v>
      </c>
      <c r="HE318" s="168">
        <v>127400</v>
      </c>
      <c r="HF318" s="168">
        <v>208974</v>
      </c>
      <c r="HG318" s="168">
        <v>494</v>
      </c>
      <c r="HH318" s="168">
        <v>1151</v>
      </c>
      <c r="HI318" s="168">
        <v>493011</v>
      </c>
      <c r="HJ318" s="168">
        <v>463089</v>
      </c>
      <c r="HK318" s="21"/>
      <c r="HL318" s="21"/>
      <c r="HM318" s="21"/>
      <c r="HN318" s="21"/>
      <c r="HO318" s="168">
        <v>2244222</v>
      </c>
      <c r="HP318" s="168">
        <v>2210099</v>
      </c>
      <c r="HQ318" s="21"/>
      <c r="HR318" s="21"/>
      <c r="HS318" s="21"/>
      <c r="HT318" s="21"/>
      <c r="HU318" s="168">
        <v>2798234</v>
      </c>
      <c r="HV318" s="168">
        <v>2666908</v>
      </c>
      <c r="HW318" s="21"/>
      <c r="HX318" s="21"/>
      <c r="HY318" s="168">
        <v>32500</v>
      </c>
      <c r="HZ318" s="21"/>
      <c r="IA318" s="168">
        <v>334116</v>
      </c>
      <c r="IB318" s="168">
        <v>329261</v>
      </c>
      <c r="IC318" s="21"/>
      <c r="ID318" s="21"/>
      <c r="IE318" s="168">
        <v>1685242</v>
      </c>
      <c r="IF318" s="168">
        <v>1621383</v>
      </c>
      <c r="IG318" s="168">
        <v>215188</v>
      </c>
      <c r="IH318" s="168">
        <v>232020</v>
      </c>
      <c r="II318" s="21"/>
      <c r="IJ318" s="21"/>
      <c r="IK318" s="21"/>
      <c r="IL318" s="21"/>
      <c r="IM318" s="21"/>
      <c r="IN318" s="21"/>
      <c r="IO318" s="168">
        <v>40285</v>
      </c>
      <c r="IP318" s="168">
        <v>42171</v>
      </c>
      <c r="IQ318" s="168">
        <v>845</v>
      </c>
      <c r="IR318" s="168">
        <v>1526</v>
      </c>
      <c r="IS318" s="21"/>
      <c r="IT318" s="21"/>
      <c r="IU318" s="168">
        <v>2828281</v>
      </c>
      <c r="IV318" s="168">
        <v>2415515</v>
      </c>
      <c r="IW318" s="168">
        <v>3001844</v>
      </c>
      <c r="IX318" s="168">
        <v>2602685</v>
      </c>
      <c r="IY318" s="168">
        <v>-173563</v>
      </c>
      <c r="IZ318" s="168">
        <v>-187170</v>
      </c>
      <c r="JA318" s="168">
        <v>603212</v>
      </c>
      <c r="JB318" s="168">
        <v>655818</v>
      </c>
      <c r="JC318" s="21"/>
      <c r="JD318" s="21"/>
      <c r="JE318" s="168">
        <v>9605729</v>
      </c>
      <c r="JF318" s="168">
        <v>9263696</v>
      </c>
      <c r="JG318" s="21"/>
      <c r="JH318" s="21"/>
      <c r="JI318" s="168">
        <v>95043483</v>
      </c>
      <c r="JJ318" s="168">
        <v>93071553</v>
      </c>
      <c r="JK318" s="168">
        <v>215189</v>
      </c>
      <c r="JL318" s="168">
        <v>232021</v>
      </c>
      <c r="JM318" s="168">
        <v>98045327</v>
      </c>
      <c r="JN318" s="168">
        <v>95674238</v>
      </c>
      <c r="JO318" s="168">
        <v>41626</v>
      </c>
      <c r="JP318" s="168">
        <v>44851</v>
      </c>
      <c r="JQ318" s="168">
        <v>-580725</v>
      </c>
      <c r="JR318" s="168">
        <v>-678690</v>
      </c>
      <c r="JS318" s="21"/>
      <c r="JT318" s="21"/>
      <c r="JU318" s="21"/>
      <c r="JV318" s="21"/>
      <c r="JW318" s="168">
        <v>96949104</v>
      </c>
      <c r="JX318" s="168">
        <v>94555331</v>
      </c>
      <c r="JY318" s="21"/>
      <c r="JZ318" s="21"/>
      <c r="KA318" s="168">
        <v>9557929</v>
      </c>
      <c r="KB318" s="168">
        <v>9539897</v>
      </c>
      <c r="KC318" s="21"/>
      <c r="KD318" s="21"/>
      <c r="KE318" s="168">
        <v>625990</v>
      </c>
      <c r="KF318" s="168">
        <v>693752</v>
      </c>
      <c r="KG318" s="21"/>
      <c r="KH318" s="21"/>
      <c r="KI318" s="168">
        <v>86765185</v>
      </c>
      <c r="KJ318" s="168">
        <v>84321682</v>
      </c>
      <c r="KK318" s="21"/>
      <c r="KL318" s="21"/>
      <c r="KM318" s="21"/>
      <c r="KN318" s="21"/>
      <c r="KO318" s="21"/>
      <c r="KP318" s="21"/>
      <c r="KQ318" s="168">
        <v>1323850</v>
      </c>
      <c r="KR318" s="168">
        <v>1146567</v>
      </c>
      <c r="KS318" s="21"/>
      <c r="KT318" s="21"/>
      <c r="KU318" s="168">
        <v>3322</v>
      </c>
      <c r="KV318" s="168">
        <v>536001</v>
      </c>
      <c r="KW318" s="21"/>
      <c r="KX318" s="21"/>
      <c r="KY318" s="168">
        <v>97176</v>
      </c>
      <c r="KZ318" s="168">
        <v>107141</v>
      </c>
      <c r="LA318" s="168">
        <v>27836195</v>
      </c>
      <c r="LB318" s="168">
        <v>27836195</v>
      </c>
      <c r="LC318" s="21"/>
      <c r="LD318" s="21"/>
      <c r="LE318" s="168">
        <v>635560</v>
      </c>
      <c r="LF318" s="168">
        <v>501600</v>
      </c>
      <c r="LG318" s="21"/>
      <c r="LH318" s="21"/>
      <c r="LI318" s="168">
        <v>3613850</v>
      </c>
      <c r="LJ318" s="168">
        <v>3530965</v>
      </c>
      <c r="LK318" s="168">
        <v>5645852</v>
      </c>
      <c r="LL318" s="168">
        <v>5404900</v>
      </c>
      <c r="LM318" s="168">
        <v>57263</v>
      </c>
      <c r="LN318" s="168">
        <v>139592</v>
      </c>
      <c r="LO318" s="21"/>
      <c r="LP318" s="21"/>
      <c r="LQ318" s="21"/>
      <c r="LR318" s="21"/>
      <c r="LS318" s="21"/>
      <c r="LT318" s="21"/>
      <c r="LU318" s="21"/>
      <c r="LV318" s="21"/>
      <c r="LW318" s="21"/>
      <c r="LX318" s="21"/>
      <c r="LY318" s="21"/>
      <c r="LZ318" s="21"/>
      <c r="MA318" s="168">
        <v>9407143</v>
      </c>
      <c r="MB318" s="168">
        <v>10586013</v>
      </c>
      <c r="MC318" s="168">
        <v>395416</v>
      </c>
      <c r="MD318" s="168">
        <v>417508</v>
      </c>
      <c r="ME318" s="21"/>
      <c r="MF318" s="21"/>
      <c r="MG318" s="168">
        <v>2650685</v>
      </c>
      <c r="MH318" s="168">
        <v>2881283</v>
      </c>
      <c r="MI318" s="21"/>
      <c r="MJ318" s="21"/>
      <c r="MK318" s="21"/>
      <c r="ML318" s="21"/>
      <c r="MM318" s="168">
        <v>5240</v>
      </c>
      <c r="MN318" s="168">
        <v>8388</v>
      </c>
      <c r="MO318" s="168">
        <v>43970</v>
      </c>
      <c r="MP318" s="168">
        <v>53227</v>
      </c>
      <c r="MQ318" s="21"/>
      <c r="MR318" s="168">
        <v>2965</v>
      </c>
      <c r="MS318" s="21"/>
      <c r="MT318" s="21"/>
      <c r="MU318" s="21"/>
      <c r="MV318" s="21"/>
      <c r="MW318" s="168">
        <v>72162</v>
      </c>
      <c r="MX318" s="168">
        <v>72162</v>
      </c>
      <c r="MY318" s="21"/>
      <c r="MZ318" s="21"/>
      <c r="NA318" s="21"/>
      <c r="NB318" s="21"/>
      <c r="NC318" s="168">
        <v>1449457</v>
      </c>
      <c r="ND318" s="168">
        <v>1167673</v>
      </c>
      <c r="NE318" s="21"/>
      <c r="NF318" s="21"/>
      <c r="NG318" s="168">
        <v>30257231</v>
      </c>
      <c r="NH318" s="168">
        <v>29337776</v>
      </c>
      <c r="NI318" s="21"/>
      <c r="NJ318" s="21"/>
      <c r="NK318" s="168">
        <v>7099945</v>
      </c>
      <c r="NL318" s="168">
        <v>7259737</v>
      </c>
      <c r="NM318" s="168">
        <v>20545790</v>
      </c>
      <c r="NN318" s="168">
        <v>21341074</v>
      </c>
      <c r="NO318" s="168">
        <v>60597622</v>
      </c>
      <c r="NP318" s="168">
        <v>60876063</v>
      </c>
      <c r="NQ318" s="168" t="s">
        <v>1306</v>
      </c>
      <c r="NR318" s="168" t="s">
        <v>813</v>
      </c>
      <c r="NS318" s="168" t="s">
        <v>770</v>
      </c>
      <c r="NT318" s="168" t="s">
        <v>771</v>
      </c>
      <c r="NU318" s="168">
        <v>4701</v>
      </c>
      <c r="NV318" s="168" t="s">
        <v>2104</v>
      </c>
      <c r="NW318" s="168" t="s">
        <v>28</v>
      </c>
      <c r="NX318" s="168" t="s">
        <v>25</v>
      </c>
      <c r="NY318" s="169">
        <v>42766</v>
      </c>
      <c r="NZ318" s="169">
        <v>42400</v>
      </c>
      <c r="OA318" s="169">
        <v>43039</v>
      </c>
      <c r="OB318" s="168" t="s">
        <v>1406</v>
      </c>
      <c r="OC318" s="168">
        <v>12</v>
      </c>
      <c r="OD318" s="168" t="s">
        <v>2105</v>
      </c>
      <c r="OE318" s="168" t="s">
        <v>2168</v>
      </c>
      <c r="OF318" s="168" t="s">
        <v>2520</v>
      </c>
      <c r="OG318" s="168" t="s">
        <v>2006</v>
      </c>
      <c r="OH318" s="168" t="s">
        <v>784</v>
      </c>
      <c r="OI318" s="168" t="s">
        <v>766</v>
      </c>
      <c r="OJ318" s="168" t="s">
        <v>3240</v>
      </c>
      <c r="OK318" s="168" t="s">
        <v>812</v>
      </c>
    </row>
    <row r="319" spans="1:401" x14ac:dyDescent="0.2">
      <c r="A319" s="170" t="str">
        <f>Liste[[#This Row],[Siren]]</f>
        <v>410334494</v>
      </c>
      <c r="B319" s="198" t="str">
        <f>Liste[[#This Row],[Dénomination]]&amp;" - comptes "&amp;YEAR(Liste[[#This Row],[Date de cloture de l''exercice]])</f>
        <v>G.F.J. INVESTISSEMENTS - comptes 2017</v>
      </c>
      <c r="C319" s="21"/>
      <c r="D319" s="21"/>
      <c r="E319" s="168">
        <v>8191</v>
      </c>
      <c r="F319" s="168">
        <v>3569884</v>
      </c>
      <c r="G319" s="168">
        <v>3309248</v>
      </c>
      <c r="H319" s="168">
        <v>3578076</v>
      </c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168">
        <v>555180</v>
      </c>
      <c r="BA319" s="168">
        <v>645298</v>
      </c>
      <c r="BB319" s="168">
        <v>555180</v>
      </c>
      <c r="BC319" s="168">
        <v>18152</v>
      </c>
      <c r="BD319" s="168">
        <v>558377</v>
      </c>
      <c r="BE319" s="168">
        <v>615976</v>
      </c>
      <c r="BF319" s="168">
        <v>576530</v>
      </c>
      <c r="BG319" s="168">
        <v>203859</v>
      </c>
      <c r="BH319" s="168">
        <v>61802</v>
      </c>
      <c r="BI319" s="168">
        <v>61735</v>
      </c>
      <c r="BJ319" s="168">
        <v>265661</v>
      </c>
      <c r="BK319" s="168">
        <v>18264778</v>
      </c>
      <c r="BL319" s="168">
        <v>22164248</v>
      </c>
      <c r="BM319" s="168">
        <v>13101682</v>
      </c>
      <c r="BN319" s="168">
        <v>40429026</v>
      </c>
      <c r="BO319" s="168">
        <v>50000</v>
      </c>
      <c r="BP319" s="168">
        <v>1187366</v>
      </c>
      <c r="BQ319" s="168">
        <v>811374</v>
      </c>
      <c r="BR319" s="168">
        <v>1237366</v>
      </c>
      <c r="BS319" s="21"/>
      <c r="BT319" s="21"/>
      <c r="BU319" s="21"/>
      <c r="BV319" s="21"/>
      <c r="BW319" s="21"/>
      <c r="BX319" s="168">
        <v>3220308</v>
      </c>
      <c r="BY319" s="168">
        <v>2675013</v>
      </c>
      <c r="BZ319" s="168">
        <v>3220308</v>
      </c>
      <c r="CA319" s="21"/>
      <c r="CB319" s="21"/>
      <c r="CC319" s="21"/>
      <c r="CD319" s="21"/>
      <c r="CE319" s="21"/>
      <c r="CF319" s="21"/>
      <c r="CG319" s="21"/>
      <c r="CH319" s="21"/>
      <c r="CI319" s="21"/>
      <c r="CJ319" s="21"/>
      <c r="CK319" s="21"/>
      <c r="CL319" s="21"/>
      <c r="CM319" s="21"/>
      <c r="CN319" s="21"/>
      <c r="CO319" s="21"/>
      <c r="CP319" s="21"/>
      <c r="CQ319" s="168">
        <v>3848843</v>
      </c>
      <c r="CR319" s="168">
        <v>3848843</v>
      </c>
      <c r="CS319" s="168">
        <v>3848843</v>
      </c>
      <c r="CT319" s="21"/>
      <c r="CU319" s="21"/>
      <c r="CV319" s="21"/>
      <c r="CW319" s="21"/>
      <c r="CX319" s="21"/>
      <c r="CY319" s="21"/>
      <c r="CZ319" s="21"/>
      <c r="DA319" s="21"/>
      <c r="DB319" s="21"/>
      <c r="DC319" s="21"/>
      <c r="DD319" s="21"/>
      <c r="DE319" s="21"/>
      <c r="DF319" s="168">
        <v>8002112</v>
      </c>
      <c r="DG319" s="168">
        <v>1734988</v>
      </c>
      <c r="DH319" s="168">
        <v>1836793</v>
      </c>
      <c r="DI319" s="168">
        <v>9737100</v>
      </c>
      <c r="DJ319" s="21"/>
      <c r="DK319" s="168">
        <v>12089817</v>
      </c>
      <c r="DL319" s="168">
        <v>11690500</v>
      </c>
      <c r="DM319" s="168">
        <v>12089817</v>
      </c>
      <c r="DN319" s="21"/>
      <c r="DO319" s="168">
        <v>49066</v>
      </c>
      <c r="DP319" s="168">
        <v>50016</v>
      </c>
      <c r="DQ319" s="168">
        <v>49066</v>
      </c>
      <c r="DR319" s="21"/>
      <c r="DS319" s="21"/>
      <c r="DT319" s="21"/>
      <c r="DU319" s="21"/>
      <c r="DV319" s="21"/>
      <c r="DW319" s="168">
        <v>187933</v>
      </c>
      <c r="DX319" s="168">
        <v>195837</v>
      </c>
      <c r="DY319" s="168">
        <v>187933</v>
      </c>
      <c r="DZ319" s="21"/>
      <c r="EA319" s="21"/>
      <c r="EB319" s="21"/>
      <c r="EC319" s="21"/>
      <c r="ED319" s="21"/>
      <c r="EE319" s="21"/>
      <c r="EF319" s="21"/>
      <c r="EG319" s="21"/>
      <c r="EH319" s="21"/>
      <c r="EI319" s="21"/>
      <c r="EJ319" s="21"/>
      <c r="EK319" s="21"/>
      <c r="EL319" s="21"/>
      <c r="EM319" s="21"/>
      <c r="EN319" s="21"/>
      <c r="EO319" s="168">
        <v>26344</v>
      </c>
      <c r="EP319" s="168">
        <v>24874945</v>
      </c>
      <c r="EQ319" s="168">
        <v>26170288</v>
      </c>
      <c r="ER319" s="168">
        <v>24901289</v>
      </c>
      <c r="ES319" s="168">
        <v>31949415</v>
      </c>
      <c r="ET319" s="168">
        <v>63198114</v>
      </c>
      <c r="EU319" s="168">
        <v>52395766</v>
      </c>
      <c r="EV319" s="168">
        <v>95147530</v>
      </c>
      <c r="EW319" s="168">
        <v>2372778</v>
      </c>
      <c r="EX319" s="168">
        <v>4500089</v>
      </c>
      <c r="EY319" s="168">
        <v>2117819</v>
      </c>
      <c r="EZ319" s="168">
        <v>6872867</v>
      </c>
      <c r="FA319" s="21"/>
      <c r="FB319" s="21"/>
      <c r="FC319" s="21"/>
      <c r="FD319" s="21"/>
      <c r="FE319" s="21"/>
      <c r="FF319" s="168">
        <v>3091859</v>
      </c>
      <c r="FG319" s="168">
        <v>5250000</v>
      </c>
      <c r="FH319" s="168">
        <v>3091859</v>
      </c>
      <c r="FI319" s="168">
        <v>-33754</v>
      </c>
      <c r="FJ319" s="168">
        <v>-73782</v>
      </c>
      <c r="FK319" s="21"/>
      <c r="FL319" s="21"/>
      <c r="FM319" s="168">
        <v>188170</v>
      </c>
      <c r="FN319" s="21"/>
      <c r="FO319" s="168">
        <v>3276898</v>
      </c>
      <c r="FP319" s="168">
        <v>6784</v>
      </c>
      <c r="FQ319" s="21"/>
      <c r="FR319" s="21"/>
      <c r="FS319" s="168">
        <v>15083</v>
      </c>
      <c r="FT319" s="168">
        <v>78907</v>
      </c>
      <c r="FU319" s="168">
        <v>-24899</v>
      </c>
      <c r="FV319" s="168">
        <v>-35028</v>
      </c>
      <c r="FW319" s="168">
        <v>2803871</v>
      </c>
      <c r="FX319" s="168">
        <v>2378402</v>
      </c>
      <c r="FY319" s="168">
        <v>113206</v>
      </c>
      <c r="FZ319" s="168">
        <v>90033</v>
      </c>
      <c r="GA319" s="21"/>
      <c r="GB319" s="21"/>
      <c r="GC319" s="168">
        <v>2189</v>
      </c>
      <c r="GD319" s="168">
        <v>2211</v>
      </c>
      <c r="GE319" s="168">
        <v>2644588</v>
      </c>
      <c r="GF319" s="168">
        <v>8200</v>
      </c>
      <c r="GG319" s="21"/>
      <c r="GH319" s="21"/>
      <c r="GI319" s="21"/>
      <c r="GJ319" s="21"/>
      <c r="GK319" s="168">
        <v>799618</v>
      </c>
      <c r="GL319" s="168">
        <v>1498</v>
      </c>
      <c r="GM319" s="168">
        <v>5491322</v>
      </c>
      <c r="GN319" s="168">
        <v>4688166</v>
      </c>
      <c r="GO319" s="168">
        <v>5604528</v>
      </c>
      <c r="GP319" s="168">
        <v>4778199</v>
      </c>
      <c r="GQ319" s="21"/>
      <c r="GR319" s="21"/>
      <c r="GS319" s="21"/>
      <c r="GT319" s="21"/>
      <c r="GU319" s="168">
        <v>3480152</v>
      </c>
      <c r="GV319" s="168">
        <v>85692</v>
      </c>
      <c r="GW319" s="168">
        <v>3446397</v>
      </c>
      <c r="GX319" s="168">
        <v>11910</v>
      </c>
      <c r="GY319" s="168">
        <v>97617222</v>
      </c>
      <c r="GZ319" s="168">
        <v>96498144</v>
      </c>
      <c r="HA319" s="168">
        <v>259434</v>
      </c>
      <c r="HB319" s="168">
        <v>280916</v>
      </c>
      <c r="HC319" s="168">
        <v>7907208</v>
      </c>
      <c r="HD319" s="168">
        <v>8813255</v>
      </c>
      <c r="HE319" s="168">
        <v>83517</v>
      </c>
      <c r="HF319" s="168">
        <v>112946</v>
      </c>
      <c r="HG319" s="168">
        <v>57415</v>
      </c>
      <c r="HH319" s="168">
        <v>69152</v>
      </c>
      <c r="HI319" s="168">
        <v>1491328</v>
      </c>
      <c r="HJ319" s="168">
        <v>1552086</v>
      </c>
      <c r="HK319" s="21"/>
      <c r="HL319" s="21"/>
      <c r="HM319" s="21"/>
      <c r="HN319" s="21"/>
      <c r="HO319" s="168">
        <v>4671181</v>
      </c>
      <c r="HP319" s="168">
        <v>4511742</v>
      </c>
      <c r="HQ319" s="21"/>
      <c r="HR319" s="21"/>
      <c r="HS319" s="21"/>
      <c r="HT319" s="21"/>
      <c r="HU319" s="168">
        <v>2456717</v>
      </c>
      <c r="HV319" s="168">
        <v>2395016</v>
      </c>
      <c r="HW319" s="168">
        <v>23391</v>
      </c>
      <c r="HX319" s="168">
        <v>2395016</v>
      </c>
      <c r="HY319" s="168">
        <v>60000</v>
      </c>
      <c r="HZ319" s="168">
        <v>162000</v>
      </c>
      <c r="IA319" s="168">
        <v>23391</v>
      </c>
      <c r="IB319" s="168">
        <v>4217</v>
      </c>
      <c r="IC319" s="168">
        <v>50000</v>
      </c>
      <c r="ID319" s="21"/>
      <c r="IE319" s="168">
        <v>2017878</v>
      </c>
      <c r="IF319" s="168">
        <v>1996025</v>
      </c>
      <c r="IG319" s="168">
        <v>338055</v>
      </c>
      <c r="IH319" s="168">
        <v>298514</v>
      </c>
      <c r="II319" s="21"/>
      <c r="IJ319" s="21"/>
      <c r="IK319" s="21"/>
      <c r="IL319" s="21"/>
      <c r="IM319" s="21"/>
      <c r="IN319" s="21"/>
      <c r="IO319" s="168">
        <v>9652</v>
      </c>
      <c r="IP319" s="168">
        <v>7634</v>
      </c>
      <c r="IQ319" s="168">
        <v>5297</v>
      </c>
      <c r="IR319" s="168">
        <v>4313</v>
      </c>
      <c r="IS319" s="21"/>
      <c r="IT319" s="21"/>
      <c r="IU319" s="168">
        <v>8417255</v>
      </c>
      <c r="IV319" s="168">
        <v>7195355</v>
      </c>
      <c r="IW319" s="168">
        <v>8732945</v>
      </c>
      <c r="IX319" s="168">
        <v>7412769</v>
      </c>
      <c r="IY319" s="168">
        <v>-315689</v>
      </c>
      <c r="IZ319" s="168">
        <v>-217414</v>
      </c>
      <c r="JA319" s="168">
        <v>317715</v>
      </c>
      <c r="JB319" s="168">
        <v>290694</v>
      </c>
      <c r="JC319" s="21"/>
      <c r="JD319" s="21"/>
      <c r="JE319" s="168">
        <v>11727339</v>
      </c>
      <c r="JF319" s="168">
        <v>11207981</v>
      </c>
      <c r="JG319" s="168">
        <v>72538</v>
      </c>
      <c r="JH319" s="168">
        <v>29444</v>
      </c>
      <c r="JI319" s="168">
        <v>124837983</v>
      </c>
      <c r="JJ319" s="168">
        <v>124248633</v>
      </c>
      <c r="JK319" s="168">
        <v>388055</v>
      </c>
      <c r="JL319" s="168">
        <v>298514</v>
      </c>
      <c r="JM319" s="168">
        <v>133570928</v>
      </c>
      <c r="JN319" s="168">
        <v>131661403</v>
      </c>
      <c r="JO319" s="168">
        <v>72365</v>
      </c>
      <c r="JP319" s="168">
        <v>81100</v>
      </c>
      <c r="JQ319" s="168">
        <v>-399317</v>
      </c>
      <c r="JR319" s="168">
        <v>-222223</v>
      </c>
      <c r="JS319" s="168">
        <v>950</v>
      </c>
      <c r="JT319" s="168">
        <v>6899</v>
      </c>
      <c r="JU319" s="21"/>
      <c r="JV319" s="21"/>
      <c r="JW319" s="168">
        <v>131689344</v>
      </c>
      <c r="JX319" s="168">
        <v>129789177</v>
      </c>
      <c r="JY319" s="21"/>
      <c r="JZ319" s="21"/>
      <c r="KA319" s="168">
        <v>82650</v>
      </c>
      <c r="KB319" s="168">
        <v>73630</v>
      </c>
      <c r="KC319" s="21"/>
      <c r="KD319" s="21"/>
      <c r="KE319" s="168">
        <v>1945221</v>
      </c>
      <c r="KF319" s="168">
        <v>1941555</v>
      </c>
      <c r="KG319" s="21"/>
      <c r="KH319" s="21"/>
      <c r="KI319" s="168">
        <v>129661472</v>
      </c>
      <c r="KJ319" s="168">
        <v>127773990</v>
      </c>
      <c r="KK319" s="21"/>
      <c r="KL319" s="21"/>
      <c r="KM319" s="21"/>
      <c r="KN319" s="21"/>
      <c r="KO319" s="21"/>
      <c r="KP319" s="21"/>
      <c r="KQ319" s="168">
        <v>262865</v>
      </c>
      <c r="KR319" s="168">
        <v>252235</v>
      </c>
      <c r="KS319" s="21"/>
      <c r="KT319" s="21"/>
      <c r="KU319" s="21"/>
      <c r="KV319" s="21"/>
      <c r="KW319" s="21"/>
      <c r="KX319" s="21"/>
      <c r="KY319" s="21"/>
      <c r="KZ319" s="21"/>
      <c r="LA319" s="168">
        <v>696000</v>
      </c>
      <c r="LB319" s="168">
        <v>696000</v>
      </c>
      <c r="LC319" s="21"/>
      <c r="LD319" s="21"/>
      <c r="LE319" s="168">
        <v>113206</v>
      </c>
      <c r="LF319" s="168">
        <v>90033</v>
      </c>
      <c r="LG319" s="21"/>
      <c r="LH319" s="21"/>
      <c r="LI319" s="168">
        <v>6569545</v>
      </c>
      <c r="LJ319" s="168">
        <v>6045348</v>
      </c>
      <c r="LK319" s="168">
        <v>6716881</v>
      </c>
      <c r="LL319" s="168">
        <v>8288483</v>
      </c>
      <c r="LM319" s="168">
        <v>309213</v>
      </c>
      <c r="LN319" s="168">
        <v>99502</v>
      </c>
      <c r="LO319" s="21"/>
      <c r="LP319" s="21"/>
      <c r="LQ319" s="21"/>
      <c r="LR319" s="21"/>
      <c r="LS319" s="21"/>
      <c r="LT319" s="21"/>
      <c r="LU319" s="21"/>
      <c r="LV319" s="21"/>
      <c r="LW319" s="21"/>
      <c r="LX319" s="21"/>
      <c r="LY319" s="21"/>
      <c r="LZ319" s="21"/>
      <c r="MA319" s="168">
        <v>18989306</v>
      </c>
      <c r="MB319" s="168">
        <v>6571716</v>
      </c>
      <c r="MC319" s="168">
        <v>5170570</v>
      </c>
      <c r="MD319" s="168">
        <v>6595458</v>
      </c>
      <c r="ME319" s="21"/>
      <c r="MF319" s="21"/>
      <c r="MG319" s="21"/>
      <c r="MH319" s="21"/>
      <c r="MI319" s="168">
        <v>128291</v>
      </c>
      <c r="MJ319" s="168">
        <v>128291</v>
      </c>
      <c r="MK319" s="21"/>
      <c r="ML319" s="21"/>
      <c r="MM319" s="168">
        <v>361384</v>
      </c>
      <c r="MN319" s="168">
        <v>424114</v>
      </c>
      <c r="MO319" s="168">
        <v>877000</v>
      </c>
      <c r="MP319" s="168">
        <v>817000</v>
      </c>
      <c r="MQ319" s="168">
        <v>72700</v>
      </c>
      <c r="MR319" s="168">
        <v>295491</v>
      </c>
      <c r="MS319" s="21"/>
      <c r="MT319" s="21"/>
      <c r="MU319" s="21"/>
      <c r="MV319" s="21"/>
      <c r="MW319" s="21"/>
      <c r="MX319" s="21"/>
      <c r="MY319" s="21"/>
      <c r="MZ319" s="21"/>
      <c r="NA319" s="21"/>
      <c r="NB319" s="21"/>
      <c r="NC319" s="168">
        <v>5491322</v>
      </c>
      <c r="ND319" s="168">
        <v>4688166</v>
      </c>
      <c r="NE319" s="21"/>
      <c r="NF319" s="21"/>
      <c r="NG319" s="168">
        <v>23423636</v>
      </c>
      <c r="NH319" s="168">
        <v>22570793</v>
      </c>
      <c r="NI319" s="21"/>
      <c r="NJ319" s="21"/>
      <c r="NK319" s="168">
        <v>445011</v>
      </c>
      <c r="NL319" s="168">
        <v>435620</v>
      </c>
      <c r="NM319" s="168">
        <v>38379767</v>
      </c>
      <c r="NN319" s="168">
        <v>28276861</v>
      </c>
      <c r="NO319" s="168">
        <v>63198114</v>
      </c>
      <c r="NP319" s="168">
        <v>52395766</v>
      </c>
      <c r="NQ319" s="168" t="s">
        <v>1153</v>
      </c>
      <c r="NR319" s="168" t="s">
        <v>769</v>
      </c>
      <c r="NS319" s="168" t="s">
        <v>770</v>
      </c>
      <c r="NT319" s="168" t="s">
        <v>771</v>
      </c>
      <c r="NU319" s="168">
        <v>4402</v>
      </c>
      <c r="NV319" s="168" t="s">
        <v>2104</v>
      </c>
      <c r="NW319" s="168" t="s">
        <v>28</v>
      </c>
      <c r="NX319" s="168" t="s">
        <v>25</v>
      </c>
      <c r="NY319" s="169">
        <v>42766</v>
      </c>
      <c r="NZ319" s="169">
        <v>42400</v>
      </c>
      <c r="OA319" s="169">
        <v>43090</v>
      </c>
      <c r="OB319" s="168" t="s">
        <v>1154</v>
      </c>
      <c r="OC319" s="168">
        <v>12</v>
      </c>
      <c r="OD319" s="168" t="s">
        <v>2106</v>
      </c>
      <c r="OE319" s="168" t="s">
        <v>3396</v>
      </c>
      <c r="OF319" s="168" t="s">
        <v>2338</v>
      </c>
      <c r="OG319" s="168" t="s">
        <v>1904</v>
      </c>
      <c r="OH319" s="168" t="s">
        <v>1008</v>
      </c>
      <c r="OI319" s="168" t="s">
        <v>766</v>
      </c>
      <c r="OJ319" s="168" t="s">
        <v>3240</v>
      </c>
      <c r="OK319" s="168" t="s">
        <v>767</v>
      </c>
    </row>
    <row r="320" spans="1:401" x14ac:dyDescent="0.2">
      <c r="A320" s="170" t="str">
        <f>Liste[[#This Row],[Siren]]</f>
        <v>802673848</v>
      </c>
      <c r="B320" s="198" t="str">
        <f>Liste[[#This Row],[Dénomination]]&amp;" - comptes "&amp;YEAR(Liste[[#This Row],[Date de cloture de l''exercice]])</f>
        <v>GRANDFATHER - comptes 2017</v>
      </c>
      <c r="C320" s="21"/>
      <c r="D320" s="21"/>
      <c r="E320" s="21"/>
      <c r="F320" s="168">
        <v>640389</v>
      </c>
      <c r="G320" s="168">
        <v>1450753</v>
      </c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168">
        <v>384951</v>
      </c>
      <c r="BE320" s="168">
        <v>57946</v>
      </c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  <c r="BX320" s="168">
        <v>4735001</v>
      </c>
      <c r="BY320" s="168">
        <v>3900319</v>
      </c>
      <c r="BZ320" s="21"/>
      <c r="CA320" s="21"/>
      <c r="CB320" s="21"/>
      <c r="CC320" s="21"/>
      <c r="CD320" s="21"/>
      <c r="CE320" s="168">
        <v>8663150</v>
      </c>
      <c r="CF320" s="168">
        <v>8663150</v>
      </c>
      <c r="CG320" s="21"/>
      <c r="CH320" s="21"/>
      <c r="CI320" s="21"/>
      <c r="CJ320" s="21"/>
      <c r="CK320" s="21"/>
      <c r="CL320" s="21"/>
      <c r="CM320" s="21"/>
      <c r="CN320" s="21"/>
      <c r="CO320" s="21"/>
      <c r="CP320" s="21"/>
      <c r="CQ320" s="21"/>
      <c r="CR320" s="21"/>
      <c r="CS320" s="21"/>
      <c r="CT320" s="21"/>
      <c r="CU320" s="21"/>
      <c r="CV320" s="21"/>
      <c r="CW320" s="21"/>
      <c r="CX320" s="21"/>
      <c r="CY320" s="21"/>
      <c r="CZ320" s="21"/>
      <c r="DA320" s="21"/>
      <c r="DB320" s="21"/>
      <c r="DC320" s="21"/>
      <c r="DD320" s="21"/>
      <c r="DE320" s="21"/>
      <c r="DF320" s="21"/>
      <c r="DG320" s="21"/>
      <c r="DH320" s="21"/>
      <c r="DI320" s="21"/>
      <c r="DJ320" s="21"/>
      <c r="DK320" s="21"/>
      <c r="DL320" s="21"/>
      <c r="DM320" s="21"/>
      <c r="DN320" s="21"/>
      <c r="DO320" s="21"/>
      <c r="DP320" s="21"/>
      <c r="DQ320" s="21"/>
      <c r="DR320" s="21"/>
      <c r="DS320" s="21"/>
      <c r="DT320" s="21"/>
      <c r="DU320" s="21"/>
      <c r="DV320" s="21"/>
      <c r="DW320" s="21"/>
      <c r="DX320" s="21"/>
      <c r="DY320" s="21"/>
      <c r="DZ320" s="21"/>
      <c r="EA320" s="21"/>
      <c r="EB320" s="21"/>
      <c r="EC320" s="21"/>
      <c r="ED320" s="21"/>
      <c r="EE320" s="21"/>
      <c r="EF320" s="21"/>
      <c r="EG320" s="21"/>
      <c r="EH320" s="21"/>
      <c r="EI320" s="21"/>
      <c r="EJ320" s="21"/>
      <c r="EK320" s="21"/>
      <c r="EL320" s="168">
        <v>26188876</v>
      </c>
      <c r="EM320" s="168">
        <v>24815954</v>
      </c>
      <c r="EN320" s="21"/>
      <c r="EO320" s="21"/>
      <c r="EP320" s="168">
        <v>11375528</v>
      </c>
      <c r="EQ320" s="168">
        <v>11021341</v>
      </c>
      <c r="ER320" s="21"/>
      <c r="ES320" s="21"/>
      <c r="ET320" s="168">
        <v>47320736</v>
      </c>
      <c r="EU320" s="168">
        <v>45513812</v>
      </c>
      <c r="EV320" s="21"/>
      <c r="EW320" s="21"/>
      <c r="EX320" s="21"/>
      <c r="EY320" s="21"/>
      <c r="EZ320" s="21"/>
      <c r="FA320" s="21"/>
      <c r="FB320" s="21"/>
      <c r="FC320" s="21"/>
      <c r="FD320" s="21"/>
      <c r="FE320" s="21"/>
      <c r="FF320" s="168">
        <v>750144</v>
      </c>
      <c r="FG320" s="168">
        <v>1200144</v>
      </c>
      <c r="FH320" s="21"/>
      <c r="FI320" s="168">
        <v>239889</v>
      </c>
      <c r="FJ320" s="168">
        <v>-787693</v>
      </c>
      <c r="FK320" s="21"/>
      <c r="FL320" s="21"/>
      <c r="FM320" s="21"/>
      <c r="FN320" s="21"/>
      <c r="FO320" s="21"/>
      <c r="FP320" s="21"/>
      <c r="FQ320" s="21"/>
      <c r="FR320" s="168">
        <v>573958</v>
      </c>
      <c r="FS320" s="21"/>
      <c r="FT320" s="21"/>
      <c r="FU320" s="21"/>
      <c r="FV320" s="21"/>
      <c r="FW320" s="168">
        <v>-19064</v>
      </c>
      <c r="FX320" s="168">
        <v>74350</v>
      </c>
      <c r="FY320" s="21"/>
      <c r="FZ320" s="21"/>
      <c r="GA320" s="21"/>
      <c r="GB320" s="21"/>
      <c r="GC320" s="21"/>
      <c r="GD320" s="21"/>
      <c r="GE320" s="21"/>
      <c r="GF320" s="21"/>
      <c r="GG320" s="21"/>
      <c r="GH320" s="21"/>
      <c r="GI320" s="21"/>
      <c r="GJ320" s="21"/>
      <c r="GK320" s="21"/>
      <c r="GL320" s="21"/>
      <c r="GM320" s="168">
        <v>350514</v>
      </c>
      <c r="GN320" s="168">
        <v>-654378</v>
      </c>
      <c r="GO320" s="168">
        <v>350514</v>
      </c>
      <c r="GP320" s="168">
        <v>-80420</v>
      </c>
      <c r="GQ320" s="21"/>
      <c r="GR320" s="21"/>
      <c r="GS320" s="168">
        <v>350513</v>
      </c>
      <c r="GT320" s="168">
        <v>-654378</v>
      </c>
      <c r="GU320" s="168">
        <v>160005</v>
      </c>
      <c r="GV320" s="168">
        <v>790983</v>
      </c>
      <c r="GW320" s="168">
        <v>399894</v>
      </c>
      <c r="GX320" s="168">
        <v>3290</v>
      </c>
      <c r="GY320" s="21"/>
      <c r="GZ320" s="21"/>
      <c r="HA320" s="21"/>
      <c r="HB320" s="21"/>
      <c r="HC320" s="168">
        <v>12825261</v>
      </c>
      <c r="HD320" s="168">
        <v>11959421</v>
      </c>
      <c r="HE320" s="21"/>
      <c r="HF320" s="21"/>
      <c r="HG320" s="21"/>
      <c r="HH320" s="21"/>
      <c r="HI320" s="168">
        <v>11357</v>
      </c>
      <c r="HJ320" s="168">
        <v>7918</v>
      </c>
      <c r="HK320" s="21"/>
      <c r="HL320" s="21"/>
      <c r="HM320" s="21"/>
      <c r="HN320" s="21"/>
      <c r="HO320" s="21"/>
      <c r="HP320" s="21"/>
      <c r="HQ320" s="21"/>
      <c r="HR320" s="21"/>
      <c r="HS320" s="21"/>
      <c r="HT320" s="21"/>
      <c r="HU320" s="168">
        <v>1218384</v>
      </c>
      <c r="HV320" s="168">
        <v>1337606</v>
      </c>
      <c r="HW320" s="21"/>
      <c r="HX320" s="21"/>
      <c r="HY320" s="168">
        <v>2565</v>
      </c>
      <c r="HZ320" s="168">
        <v>3320</v>
      </c>
      <c r="IA320" s="168">
        <v>2565</v>
      </c>
      <c r="IB320" s="168">
        <v>3320</v>
      </c>
      <c r="IC320" s="21"/>
      <c r="ID320" s="21"/>
      <c r="IE320" s="168">
        <v>484814</v>
      </c>
      <c r="IF320" s="168">
        <v>455378</v>
      </c>
      <c r="IG320" s="21"/>
      <c r="IH320" s="21"/>
      <c r="II320" s="21"/>
      <c r="IJ320" s="21"/>
      <c r="IK320" s="21"/>
      <c r="IL320" s="21"/>
      <c r="IM320" s="21"/>
      <c r="IN320" s="21"/>
      <c r="IO320" s="21"/>
      <c r="IP320" s="21"/>
      <c r="IQ320" s="21"/>
      <c r="IR320" s="21"/>
      <c r="IS320" s="21"/>
      <c r="IT320" s="21"/>
      <c r="IU320" s="168">
        <v>91561</v>
      </c>
      <c r="IV320" s="168">
        <v>781623</v>
      </c>
      <c r="IW320" s="168">
        <v>1183498</v>
      </c>
      <c r="IX320" s="168">
        <v>1691243</v>
      </c>
      <c r="IY320" s="168">
        <v>-1091937</v>
      </c>
      <c r="IZ320" s="168">
        <v>-909620</v>
      </c>
      <c r="JA320" s="168">
        <v>804078</v>
      </c>
      <c r="JB320" s="168">
        <v>1184990</v>
      </c>
      <c r="JC320" s="21"/>
      <c r="JD320" s="21"/>
      <c r="JE320" s="21"/>
      <c r="JF320" s="21"/>
      <c r="JG320" s="168">
        <v>6166</v>
      </c>
      <c r="JH320" s="168">
        <v>7555</v>
      </c>
      <c r="JI320" s="168">
        <v>34828121</v>
      </c>
      <c r="JJ320" s="168">
        <v>31976032</v>
      </c>
      <c r="JK320" s="168">
        <v>1288048</v>
      </c>
      <c r="JL320" s="168">
        <v>1115242</v>
      </c>
      <c r="JM320" s="168">
        <v>821601</v>
      </c>
      <c r="JN320" s="168">
        <v>1200463</v>
      </c>
      <c r="JO320" s="168">
        <v>196111</v>
      </c>
      <c r="JP320" s="168">
        <v>205622</v>
      </c>
      <c r="JQ320" s="21"/>
      <c r="JR320" s="21"/>
      <c r="JS320" s="21"/>
      <c r="JT320" s="21"/>
      <c r="JU320" s="21"/>
      <c r="JV320" s="21"/>
      <c r="JW320" s="168">
        <v>35190018</v>
      </c>
      <c r="JX320" s="168">
        <v>32466812</v>
      </c>
      <c r="JY320" s="21"/>
      <c r="JZ320" s="21"/>
      <c r="KA320" s="21"/>
      <c r="KB320" s="21"/>
      <c r="KC320" s="21"/>
      <c r="KD320" s="21"/>
      <c r="KE320" s="21"/>
      <c r="KF320" s="21"/>
      <c r="KG320" s="21"/>
      <c r="KH320" s="21"/>
      <c r="KI320" s="168">
        <v>35066635</v>
      </c>
      <c r="KJ320" s="168">
        <v>32252949</v>
      </c>
      <c r="KK320" s="21"/>
      <c r="KL320" s="21"/>
      <c r="KM320" s="21"/>
      <c r="KN320" s="21"/>
      <c r="KO320" s="21"/>
      <c r="KP320" s="21"/>
      <c r="KQ320" s="168">
        <v>7530</v>
      </c>
      <c r="KR320" s="168">
        <v>10827</v>
      </c>
      <c r="KS320" s="21"/>
      <c r="KT320" s="21"/>
      <c r="KU320" s="21"/>
      <c r="KV320" s="21"/>
      <c r="KW320" s="21"/>
      <c r="KX320" s="21"/>
      <c r="KY320" s="21"/>
      <c r="KZ320" s="21"/>
      <c r="LA320" s="168">
        <v>14000000</v>
      </c>
      <c r="LB320" s="168">
        <v>14000000</v>
      </c>
      <c r="LC320" s="21"/>
      <c r="LD320" s="21"/>
      <c r="LE320" s="21"/>
      <c r="LF320" s="21"/>
      <c r="LG320" s="21"/>
      <c r="LH320" s="21"/>
      <c r="LI320" s="168">
        <v>2097259</v>
      </c>
      <c r="LJ320" s="168">
        <v>1898290</v>
      </c>
      <c r="LK320" s="168">
        <v>3560393</v>
      </c>
      <c r="LL320" s="168">
        <v>3295060</v>
      </c>
      <c r="LM320" s="168">
        <v>106574</v>
      </c>
      <c r="LN320" s="21"/>
      <c r="LO320" s="21"/>
      <c r="LP320" s="21"/>
      <c r="LQ320" s="21"/>
      <c r="LR320" s="21"/>
      <c r="LS320" s="21"/>
      <c r="LT320" s="21"/>
      <c r="LU320" s="21"/>
      <c r="LV320" s="21"/>
      <c r="LW320" s="21"/>
      <c r="LX320" s="21"/>
      <c r="LY320" s="21"/>
      <c r="LZ320" s="21"/>
      <c r="MA320" s="21"/>
      <c r="MB320" s="21"/>
      <c r="MC320" s="168">
        <v>19886988</v>
      </c>
      <c r="MD320" s="168">
        <v>19207200</v>
      </c>
      <c r="ME320" s="21"/>
      <c r="MF320" s="21"/>
      <c r="MG320" s="21"/>
      <c r="MH320" s="21"/>
      <c r="MI320" s="21"/>
      <c r="MJ320" s="21"/>
      <c r="MK320" s="21"/>
      <c r="ML320" s="21"/>
      <c r="MM320" s="21"/>
      <c r="MN320" s="21"/>
      <c r="MO320" s="21"/>
      <c r="MP320" s="21"/>
      <c r="MQ320" s="21"/>
      <c r="MR320" s="21"/>
      <c r="MS320" s="21"/>
      <c r="MT320" s="21"/>
      <c r="MU320" s="21"/>
      <c r="MV320" s="21"/>
      <c r="MW320" s="21"/>
      <c r="MX320" s="21"/>
      <c r="MY320" s="21"/>
      <c r="MZ320" s="21"/>
      <c r="NA320" s="21"/>
      <c r="NB320" s="21"/>
      <c r="NC320" s="168">
        <v>350513</v>
      </c>
      <c r="ND320" s="168">
        <v>-654378</v>
      </c>
      <c r="NE320" s="21"/>
      <c r="NF320" s="21"/>
      <c r="NG320" s="168">
        <v>14067662</v>
      </c>
      <c r="NH320" s="168">
        <v>13717148</v>
      </c>
      <c r="NI320" s="168">
        <v>7361813</v>
      </c>
      <c r="NJ320" s="168">
        <v>7075945</v>
      </c>
      <c r="NK320" s="21"/>
      <c r="NL320" s="21"/>
      <c r="NM320" s="168">
        <v>25658744</v>
      </c>
      <c r="NN320" s="168">
        <v>24411377</v>
      </c>
      <c r="NO320" s="168">
        <v>47320736</v>
      </c>
      <c r="NP320" s="168">
        <v>45513812</v>
      </c>
      <c r="NQ320" s="168" t="s">
        <v>1221</v>
      </c>
      <c r="NR320" s="168" t="s">
        <v>769</v>
      </c>
      <c r="NS320" s="168" t="s">
        <v>770</v>
      </c>
      <c r="NT320" s="168" t="s">
        <v>771</v>
      </c>
      <c r="NU320" s="168">
        <v>9201</v>
      </c>
      <c r="NV320" s="168" t="s">
        <v>2104</v>
      </c>
      <c r="NW320" s="168" t="s">
        <v>28</v>
      </c>
      <c r="NX320" s="168" t="s">
        <v>25</v>
      </c>
      <c r="NY320" s="169">
        <v>42766</v>
      </c>
      <c r="NZ320" s="169">
        <v>42400</v>
      </c>
      <c r="OA320" s="169">
        <v>42943</v>
      </c>
      <c r="OB320" s="168" t="s">
        <v>1311</v>
      </c>
      <c r="OC320" s="168">
        <v>12</v>
      </c>
      <c r="OD320" s="168" t="s">
        <v>2105</v>
      </c>
      <c r="OE320" s="168" t="s">
        <v>2453</v>
      </c>
      <c r="OF320" s="168" t="s">
        <v>2454</v>
      </c>
      <c r="OG320" s="168" t="s">
        <v>1965</v>
      </c>
      <c r="OH320" s="168" t="s">
        <v>777</v>
      </c>
      <c r="OI320" s="168" t="s">
        <v>766</v>
      </c>
      <c r="OJ320" s="168" t="s">
        <v>3240</v>
      </c>
      <c r="OK320" s="168" t="s">
        <v>767</v>
      </c>
    </row>
    <row r="321" spans="1:401" x14ac:dyDescent="0.2">
      <c r="A321" s="170" t="str">
        <f>Liste[[#This Row],[Siren]]</f>
        <v>794218800</v>
      </c>
      <c r="B321" s="198" t="str">
        <f>Liste[[#This Row],[Dénomination]]&amp;" - comptes "&amp;YEAR(Liste[[#This Row],[Date de cloture de l''exercice]])</f>
        <v>SAS CHRISAB - comptes 2017</v>
      </c>
      <c r="C321" s="21"/>
      <c r="D321" s="21"/>
      <c r="E321" s="21"/>
      <c r="F321" s="168">
        <v>5019356</v>
      </c>
      <c r="G321" s="168">
        <v>4002000</v>
      </c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168">
        <v>804585</v>
      </c>
      <c r="BA321" s="168">
        <v>640665</v>
      </c>
      <c r="BB321" s="21"/>
      <c r="BC321" s="21"/>
      <c r="BD321" s="168">
        <v>440939</v>
      </c>
      <c r="BE321" s="168">
        <v>330566</v>
      </c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  <c r="BS321" s="21"/>
      <c r="BT321" s="21"/>
      <c r="BU321" s="21"/>
      <c r="BV321" s="21"/>
      <c r="BW321" s="21"/>
      <c r="BX321" s="168">
        <v>9877602</v>
      </c>
      <c r="BY321" s="168">
        <v>4668081</v>
      </c>
      <c r="BZ321" s="21"/>
      <c r="CA321" s="21"/>
      <c r="CB321" s="21"/>
      <c r="CC321" s="21"/>
      <c r="CD321" s="21"/>
      <c r="CE321" s="168">
        <v>27644607</v>
      </c>
      <c r="CF321" s="168">
        <v>29945989</v>
      </c>
      <c r="CG321" s="21"/>
      <c r="CH321" s="21"/>
      <c r="CI321" s="21"/>
      <c r="CJ321" s="21"/>
      <c r="CK321" s="21"/>
      <c r="CL321" s="21"/>
      <c r="CM321" s="21"/>
      <c r="CN321" s="21"/>
      <c r="CO321" s="21"/>
      <c r="CP321" s="21"/>
      <c r="CQ321" s="21"/>
      <c r="CR321" s="21"/>
      <c r="CS321" s="21"/>
      <c r="CT321" s="21"/>
      <c r="CU321" s="21"/>
      <c r="CV321" s="21"/>
      <c r="CW321" s="21"/>
      <c r="CX321" s="21"/>
      <c r="CY321" s="21"/>
      <c r="CZ321" s="21"/>
      <c r="DA321" s="21"/>
      <c r="DB321" s="21"/>
      <c r="DC321" s="21"/>
      <c r="DD321" s="21"/>
      <c r="DE321" s="21"/>
      <c r="DF321" s="21"/>
      <c r="DG321" s="21"/>
      <c r="DH321" s="21"/>
      <c r="DI321" s="21"/>
      <c r="DJ321" s="21"/>
      <c r="DK321" s="21"/>
      <c r="DL321" s="21"/>
      <c r="DM321" s="21"/>
      <c r="DN321" s="21"/>
      <c r="DO321" s="21"/>
      <c r="DP321" s="21"/>
      <c r="DQ321" s="21"/>
      <c r="DR321" s="21"/>
      <c r="DS321" s="21"/>
      <c r="DT321" s="21"/>
      <c r="DU321" s="21"/>
      <c r="DV321" s="21"/>
      <c r="DW321" s="21"/>
      <c r="DX321" s="21"/>
      <c r="DY321" s="21"/>
      <c r="DZ321" s="21"/>
      <c r="EA321" s="21"/>
      <c r="EB321" s="21"/>
      <c r="EC321" s="21"/>
      <c r="ED321" s="21"/>
      <c r="EE321" s="21"/>
      <c r="EF321" s="21"/>
      <c r="EG321" s="21"/>
      <c r="EH321" s="21"/>
      <c r="EI321" s="21"/>
      <c r="EJ321" s="21"/>
      <c r="EK321" s="21"/>
      <c r="EL321" s="168">
        <v>64228157</v>
      </c>
      <c r="EM321" s="168">
        <v>59321371</v>
      </c>
      <c r="EN321" s="21"/>
      <c r="EO321" s="21"/>
      <c r="EP321" s="168">
        <v>30388554</v>
      </c>
      <c r="EQ321" s="168">
        <v>30641757</v>
      </c>
      <c r="ER321" s="21"/>
      <c r="ES321" s="21"/>
      <c r="ET321" s="168">
        <v>94616711</v>
      </c>
      <c r="EU321" s="168">
        <v>89963128</v>
      </c>
      <c r="EV321" s="21"/>
      <c r="EW321" s="21"/>
      <c r="EX321" s="21"/>
      <c r="EY321" s="21"/>
      <c r="EZ321" s="21"/>
      <c r="FA321" s="21"/>
      <c r="FB321" s="21"/>
      <c r="FC321" s="21"/>
      <c r="FD321" s="21"/>
      <c r="FE321" s="21"/>
      <c r="FF321" s="168">
        <v>4350000</v>
      </c>
      <c r="FG321" s="168">
        <v>11950000</v>
      </c>
      <c r="FH321" s="21"/>
      <c r="FI321" s="21"/>
      <c r="FJ321" s="21"/>
      <c r="FK321" s="21"/>
      <c r="FL321" s="21"/>
      <c r="FM321" s="21"/>
      <c r="FN321" s="21"/>
      <c r="FO321" s="21"/>
      <c r="FP321" s="21"/>
      <c r="FQ321" s="168">
        <v>-2301382</v>
      </c>
      <c r="FR321" s="168">
        <v>-1915526</v>
      </c>
      <c r="FS321" s="21"/>
      <c r="FT321" s="21"/>
      <c r="FU321" s="21"/>
      <c r="FV321" s="21"/>
      <c r="FW321" s="168">
        <v>-949783</v>
      </c>
      <c r="FX321" s="168">
        <v>-1059582</v>
      </c>
      <c r="FY321" s="168">
        <v>-214</v>
      </c>
      <c r="FZ321" s="168">
        <v>-401</v>
      </c>
      <c r="GA321" s="168">
        <v>-885478</v>
      </c>
      <c r="GB321" s="168">
        <v>-889311</v>
      </c>
      <c r="GC321" s="21"/>
      <c r="GD321" s="21"/>
      <c r="GE321" s="21"/>
      <c r="GF321" s="21"/>
      <c r="GG321" s="21"/>
      <c r="GH321" s="21"/>
      <c r="GI321" s="21"/>
      <c r="GJ321" s="21"/>
      <c r="GK321" s="21"/>
      <c r="GL321" s="21"/>
      <c r="GM321" s="168">
        <v>162364</v>
      </c>
      <c r="GN321" s="168">
        <v>731872</v>
      </c>
      <c r="GO321" s="168">
        <v>2463747</v>
      </c>
      <c r="GP321" s="168">
        <v>2647398</v>
      </c>
      <c r="GQ321" s="21"/>
      <c r="GR321" s="21"/>
      <c r="GS321" s="168">
        <v>162150</v>
      </c>
      <c r="GT321" s="168">
        <v>731471</v>
      </c>
      <c r="GU321" s="21"/>
      <c r="GV321" s="21"/>
      <c r="GW321" s="21"/>
      <c r="GX321" s="21"/>
      <c r="GY321" s="21"/>
      <c r="GZ321" s="21"/>
      <c r="HA321" s="21"/>
      <c r="HB321" s="21"/>
      <c r="HC321" s="21"/>
      <c r="HD321" s="21"/>
      <c r="HE321" s="168">
        <v>-7186442</v>
      </c>
      <c r="HF321" s="168">
        <v>-7072275</v>
      </c>
      <c r="HG321" s="21"/>
      <c r="HH321" s="21"/>
      <c r="HI321" s="168">
        <v>2084880</v>
      </c>
      <c r="HJ321" s="168">
        <v>2429110</v>
      </c>
      <c r="HK321" s="21"/>
      <c r="HL321" s="21"/>
      <c r="HM321" s="21"/>
      <c r="HN321" s="21"/>
      <c r="HO321" s="21"/>
      <c r="HP321" s="21"/>
      <c r="HQ321" s="21"/>
      <c r="HR321" s="21"/>
      <c r="HS321" s="21"/>
      <c r="HT321" s="21"/>
      <c r="HU321" s="21"/>
      <c r="HV321" s="21"/>
      <c r="HW321" s="21"/>
      <c r="HX321" s="21"/>
      <c r="HY321" s="21"/>
      <c r="HZ321" s="21"/>
      <c r="IA321" s="21"/>
      <c r="IB321" s="21"/>
      <c r="IC321" s="21"/>
      <c r="ID321" s="21"/>
      <c r="IE321" s="168">
        <v>-2813442</v>
      </c>
      <c r="IF321" s="168">
        <v>-3012901</v>
      </c>
      <c r="IG321" s="21"/>
      <c r="IH321" s="21"/>
      <c r="II321" s="21"/>
      <c r="IJ321" s="21"/>
      <c r="IK321" s="21"/>
      <c r="IL321" s="21"/>
      <c r="IM321" s="21"/>
      <c r="IN321" s="21"/>
      <c r="IO321" s="21"/>
      <c r="IP321" s="21"/>
      <c r="IQ321" s="21"/>
      <c r="IR321" s="21"/>
      <c r="IS321" s="21"/>
      <c r="IT321" s="21"/>
      <c r="IU321" s="168">
        <v>4032107</v>
      </c>
      <c r="IV321" s="168">
        <v>4790208</v>
      </c>
      <c r="IW321" s="168">
        <v>5035599</v>
      </c>
      <c r="IX321" s="168">
        <v>5804179</v>
      </c>
      <c r="IY321" s="21"/>
      <c r="IZ321" s="21"/>
      <c r="JA321" s="21"/>
      <c r="JB321" s="21"/>
      <c r="JC321" s="21"/>
      <c r="JD321" s="21"/>
      <c r="JE321" s="21"/>
      <c r="JF321" s="21"/>
      <c r="JG321" s="21"/>
      <c r="JH321" s="21"/>
      <c r="JI321" s="21"/>
      <c r="JJ321" s="21"/>
      <c r="JK321" s="21"/>
      <c r="JL321" s="21"/>
      <c r="JM321" s="21"/>
      <c r="JN321" s="21"/>
      <c r="JO321" s="21"/>
      <c r="JP321" s="21"/>
      <c r="JQ321" s="21"/>
      <c r="JR321" s="21"/>
      <c r="JS321" s="21"/>
      <c r="JT321" s="21"/>
      <c r="JU321" s="21"/>
      <c r="JV321" s="21"/>
      <c r="JW321" s="168">
        <v>126408561</v>
      </c>
      <c r="JX321" s="168">
        <v>127412471</v>
      </c>
      <c r="JY321" s="21"/>
      <c r="JZ321" s="21"/>
      <c r="KA321" s="21"/>
      <c r="KB321" s="21"/>
      <c r="KC321" s="21"/>
      <c r="KD321" s="21"/>
      <c r="KE321" s="21"/>
      <c r="KF321" s="21"/>
      <c r="KG321" s="21"/>
      <c r="KH321" s="21"/>
      <c r="KI321" s="21"/>
      <c r="KJ321" s="21"/>
      <c r="KK321" s="21"/>
      <c r="KL321" s="21"/>
      <c r="KM321" s="21"/>
      <c r="KN321" s="21"/>
      <c r="KO321" s="21"/>
      <c r="KP321" s="21"/>
      <c r="KQ321" s="168">
        <v>6091273</v>
      </c>
      <c r="KR321" s="168">
        <v>5969612</v>
      </c>
      <c r="KS321" s="21"/>
      <c r="KT321" s="21"/>
      <c r="KU321" s="21"/>
      <c r="KV321" s="21"/>
      <c r="KW321" s="21"/>
      <c r="KX321" s="21"/>
      <c r="KY321" s="21"/>
      <c r="KZ321" s="21"/>
      <c r="LA321" s="168">
        <v>50000</v>
      </c>
      <c r="LB321" s="168">
        <v>50000</v>
      </c>
      <c r="LC321" s="21"/>
      <c r="LD321" s="21"/>
      <c r="LE321" s="21"/>
      <c r="LF321" s="21"/>
      <c r="LG321" s="21"/>
      <c r="LH321" s="21"/>
      <c r="LI321" s="21"/>
      <c r="LJ321" s="21"/>
      <c r="LK321" s="168">
        <v>9549745</v>
      </c>
      <c r="LL321" s="168">
        <v>9793263</v>
      </c>
      <c r="LM321" s="21"/>
      <c r="LN321" s="21"/>
      <c r="LO321" s="21"/>
      <c r="LP321" s="21"/>
      <c r="LQ321" s="21"/>
      <c r="LR321" s="21"/>
      <c r="LS321" s="21"/>
      <c r="LT321" s="21"/>
      <c r="LU321" s="21"/>
      <c r="LV321" s="21"/>
      <c r="LW321" s="21"/>
      <c r="LX321" s="21"/>
      <c r="LY321" s="21"/>
      <c r="LZ321" s="21"/>
      <c r="MA321" s="21"/>
      <c r="MB321" s="21"/>
      <c r="MC321" s="168">
        <v>74353801</v>
      </c>
      <c r="MD321" s="168">
        <v>69851844</v>
      </c>
      <c r="ME321" s="21"/>
      <c r="MF321" s="21"/>
      <c r="MG321" s="21"/>
      <c r="MH321" s="21"/>
      <c r="MI321" s="21"/>
      <c r="MJ321" s="21"/>
      <c r="MK321" s="21"/>
      <c r="ML321" s="21"/>
      <c r="MM321" s="21"/>
      <c r="MN321" s="21"/>
      <c r="MO321" s="21"/>
      <c r="MP321" s="21"/>
      <c r="MQ321" s="21"/>
      <c r="MR321" s="21"/>
      <c r="MS321" s="21"/>
      <c r="MT321" s="21"/>
      <c r="MU321" s="21"/>
      <c r="MV321" s="21"/>
      <c r="MW321" s="21"/>
      <c r="MX321" s="21"/>
      <c r="MY321" s="21"/>
      <c r="MZ321" s="21"/>
      <c r="NA321" s="21"/>
      <c r="NB321" s="21"/>
      <c r="NC321" s="168">
        <v>162150</v>
      </c>
      <c r="ND321" s="168">
        <v>731471</v>
      </c>
      <c r="NE321" s="21"/>
      <c r="NF321" s="21"/>
      <c r="NG321" s="168">
        <v>3702231</v>
      </c>
      <c r="NH321" s="168">
        <v>3549486</v>
      </c>
      <c r="NI321" s="21"/>
      <c r="NJ321" s="21"/>
      <c r="NK321" s="21"/>
      <c r="NL321" s="21"/>
      <c r="NM321" s="21"/>
      <c r="NN321" s="21"/>
      <c r="NO321" s="168">
        <v>94616711</v>
      </c>
      <c r="NP321" s="168">
        <v>89963128</v>
      </c>
      <c r="NQ321" s="168" t="s">
        <v>1316</v>
      </c>
      <c r="NR321" s="168" t="s">
        <v>769</v>
      </c>
      <c r="NS321" s="168" t="s">
        <v>770</v>
      </c>
      <c r="NT321" s="168" t="s">
        <v>771</v>
      </c>
      <c r="NU321" s="168">
        <v>6601</v>
      </c>
      <c r="NV321" s="168" t="s">
        <v>2104</v>
      </c>
      <c r="NW321" s="168" t="s">
        <v>28</v>
      </c>
      <c r="NX321" s="168" t="s">
        <v>25</v>
      </c>
      <c r="NY321" s="169">
        <v>42766</v>
      </c>
      <c r="NZ321" s="169">
        <v>42400</v>
      </c>
      <c r="OA321" s="169">
        <v>42944</v>
      </c>
      <c r="OB321" s="168" t="s">
        <v>1317</v>
      </c>
      <c r="OC321" s="168">
        <v>12</v>
      </c>
      <c r="OD321" s="168" t="s">
        <v>2106</v>
      </c>
      <c r="OE321" s="168" t="s">
        <v>1318</v>
      </c>
      <c r="OF321" s="168" t="s">
        <v>2460</v>
      </c>
      <c r="OG321" s="168" t="s">
        <v>1967</v>
      </c>
      <c r="OH321" s="168" t="s">
        <v>896</v>
      </c>
      <c r="OI321" s="168" t="s">
        <v>766</v>
      </c>
      <c r="OJ321" s="168" t="s">
        <v>3240</v>
      </c>
      <c r="OK321" s="168" t="s">
        <v>767</v>
      </c>
    </row>
    <row r="322" spans="1:401" x14ac:dyDescent="0.2">
      <c r="A322" s="170" t="str">
        <f>Liste[[#This Row],[Siren]]</f>
        <v>434314050</v>
      </c>
      <c r="B322" s="198" t="str">
        <f>Liste[[#This Row],[Dénomination]]&amp;" - comptes "&amp;YEAR(Liste[[#This Row],[Date de cloture de l''exercice]])</f>
        <v>HOLDING GAULT - comptes 2017</v>
      </c>
      <c r="C322" s="21"/>
      <c r="D322" s="21"/>
      <c r="E322" s="21"/>
      <c r="F322" s="168">
        <v>1763097</v>
      </c>
      <c r="G322" s="168">
        <v>2656009</v>
      </c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168">
        <v>417960</v>
      </c>
      <c r="BE322" s="168">
        <v>47548</v>
      </c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168">
        <v>910119</v>
      </c>
      <c r="BY322" s="168">
        <v>400059</v>
      </c>
      <c r="BZ322" s="21"/>
      <c r="CA322" s="21"/>
      <c r="CB322" s="21"/>
      <c r="CC322" s="21"/>
      <c r="CD322" s="21"/>
      <c r="CE322" s="168">
        <v>4555394</v>
      </c>
      <c r="CF322" s="21"/>
      <c r="CG322" s="21"/>
      <c r="CH322" s="21"/>
      <c r="CI322" s="21"/>
      <c r="CJ322" s="21"/>
      <c r="CK322" s="21"/>
      <c r="CL322" s="21"/>
      <c r="CM322" s="21"/>
      <c r="CN322" s="21"/>
      <c r="CO322" s="21"/>
      <c r="CP322" s="21"/>
      <c r="CQ322" s="21"/>
      <c r="CR322" s="21"/>
      <c r="CS322" s="21"/>
      <c r="CT322" s="21"/>
      <c r="CU322" s="21"/>
      <c r="CV322" s="21"/>
      <c r="CW322" s="21"/>
      <c r="CX322" s="21"/>
      <c r="CY322" s="21"/>
      <c r="CZ322" s="21"/>
      <c r="DA322" s="21"/>
      <c r="DB322" s="21"/>
      <c r="DC322" s="21"/>
      <c r="DD322" s="21"/>
      <c r="DE322" s="21"/>
      <c r="DF322" s="21"/>
      <c r="DG322" s="21"/>
      <c r="DH322" s="21"/>
      <c r="DI322" s="21"/>
      <c r="DJ322" s="21"/>
      <c r="DK322" s="21"/>
      <c r="DL322" s="21"/>
      <c r="DM322" s="21"/>
      <c r="DN322" s="21"/>
      <c r="DO322" s="21"/>
      <c r="DP322" s="21"/>
      <c r="DQ322" s="21"/>
      <c r="DR322" s="21"/>
      <c r="DS322" s="21"/>
      <c r="DT322" s="21"/>
      <c r="DU322" s="21"/>
      <c r="DV322" s="21"/>
      <c r="DW322" s="21"/>
      <c r="DX322" s="21"/>
      <c r="DY322" s="21"/>
      <c r="DZ322" s="21"/>
      <c r="EA322" s="21"/>
      <c r="EB322" s="21"/>
      <c r="EC322" s="21"/>
      <c r="ED322" s="21"/>
      <c r="EE322" s="21"/>
      <c r="EF322" s="21"/>
      <c r="EG322" s="21"/>
      <c r="EH322" s="21"/>
      <c r="EI322" s="21"/>
      <c r="EJ322" s="21"/>
      <c r="EK322" s="21"/>
      <c r="EL322" s="168">
        <v>22809131</v>
      </c>
      <c r="EM322" s="168">
        <v>23108125</v>
      </c>
      <c r="EN322" s="21"/>
      <c r="EO322" s="21"/>
      <c r="EP322" s="168">
        <v>9377135</v>
      </c>
      <c r="EQ322" s="168">
        <v>9428981</v>
      </c>
      <c r="ER322" s="21"/>
      <c r="ES322" s="21"/>
      <c r="ET322" s="168">
        <v>32186266</v>
      </c>
      <c r="EU322" s="168">
        <v>32537106</v>
      </c>
      <c r="EV322" s="21"/>
      <c r="EW322" s="21"/>
      <c r="EX322" s="21"/>
      <c r="EY322" s="21"/>
      <c r="EZ322" s="21"/>
      <c r="FA322" s="21"/>
      <c r="FB322" s="21"/>
      <c r="FC322" s="21"/>
      <c r="FD322" s="21"/>
      <c r="FE322" s="21"/>
      <c r="FF322" s="168">
        <v>2146501</v>
      </c>
      <c r="FG322" s="168">
        <v>2308046</v>
      </c>
      <c r="FH322" s="21"/>
      <c r="FI322" s="168">
        <v>406511</v>
      </c>
      <c r="FJ322" s="168">
        <v>38853</v>
      </c>
      <c r="FK322" s="21"/>
      <c r="FL322" s="21"/>
      <c r="FM322" s="21"/>
      <c r="FN322" s="21"/>
      <c r="FO322" s="21"/>
      <c r="FP322" s="21"/>
      <c r="FQ322" s="21"/>
      <c r="FR322" s="21"/>
      <c r="FS322" s="21"/>
      <c r="FT322" s="21"/>
      <c r="FU322" s="21"/>
      <c r="FV322" s="21"/>
      <c r="FW322" s="168">
        <v>528178</v>
      </c>
      <c r="FX322" s="168">
        <v>561110</v>
      </c>
      <c r="FY322" s="21"/>
      <c r="FZ322" s="21"/>
      <c r="GA322" s="21"/>
      <c r="GB322" s="21"/>
      <c r="GC322" s="21"/>
      <c r="GD322" s="21"/>
      <c r="GE322" s="21"/>
      <c r="GF322" s="21"/>
      <c r="GG322" s="21"/>
      <c r="GH322" s="21"/>
      <c r="GI322" s="21"/>
      <c r="GJ322" s="21"/>
      <c r="GK322" s="21"/>
      <c r="GL322" s="21"/>
      <c r="GM322" s="168">
        <v>1877366</v>
      </c>
      <c r="GN322" s="168">
        <v>2048432</v>
      </c>
      <c r="GO322" s="168">
        <v>1877366</v>
      </c>
      <c r="GP322" s="168">
        <v>2048432</v>
      </c>
      <c r="GQ322" s="21"/>
      <c r="GR322" s="21"/>
      <c r="GS322" s="21"/>
      <c r="GT322" s="21"/>
      <c r="GU322" s="21"/>
      <c r="GV322" s="21"/>
      <c r="GW322" s="21"/>
      <c r="GX322" s="21"/>
      <c r="GY322" s="21"/>
      <c r="GZ322" s="21"/>
      <c r="HA322" s="21"/>
      <c r="HB322" s="21"/>
      <c r="HC322" s="21"/>
      <c r="HD322" s="21"/>
      <c r="HE322" s="168">
        <v>90790</v>
      </c>
      <c r="HF322" s="168">
        <v>31122</v>
      </c>
      <c r="HG322" s="21"/>
      <c r="HH322" s="21"/>
      <c r="HI322" s="168">
        <v>519411</v>
      </c>
      <c r="HJ322" s="168">
        <v>657014</v>
      </c>
      <c r="HK322" s="21"/>
      <c r="HL322" s="21"/>
      <c r="HM322" s="21"/>
      <c r="HN322" s="21"/>
      <c r="HO322" s="21"/>
      <c r="HP322" s="21"/>
      <c r="HQ322" s="21"/>
      <c r="HR322" s="21"/>
      <c r="HS322" s="21"/>
      <c r="HT322" s="21"/>
      <c r="HU322" s="168">
        <v>1206720</v>
      </c>
      <c r="HV322" s="168">
        <v>1329915</v>
      </c>
      <c r="HW322" s="21"/>
      <c r="HX322" s="21"/>
      <c r="HY322" s="21"/>
      <c r="HZ322" s="21"/>
      <c r="IA322" s="21"/>
      <c r="IB322" s="21"/>
      <c r="IC322" s="21"/>
      <c r="ID322" s="21"/>
      <c r="IE322" s="168">
        <v>1073989</v>
      </c>
      <c r="IF322" s="168">
        <v>1053568</v>
      </c>
      <c r="IG322" s="21"/>
      <c r="IH322" s="21"/>
      <c r="II322" s="21"/>
      <c r="IJ322" s="21"/>
      <c r="IK322" s="21"/>
      <c r="IL322" s="21"/>
      <c r="IM322" s="21"/>
      <c r="IN322" s="21"/>
      <c r="IO322" s="21"/>
      <c r="IP322" s="21"/>
      <c r="IQ322" s="21"/>
      <c r="IR322" s="21"/>
      <c r="IS322" s="21"/>
      <c r="IT322" s="21"/>
      <c r="IU322" s="168">
        <v>1999033</v>
      </c>
      <c r="IV322" s="168">
        <v>2648395</v>
      </c>
      <c r="IW322" s="21"/>
      <c r="IX322" s="21"/>
      <c r="IY322" s="168">
        <v>139249</v>
      </c>
      <c r="IZ322" s="168">
        <v>218412</v>
      </c>
      <c r="JA322" s="21"/>
      <c r="JB322" s="21"/>
      <c r="JC322" s="21"/>
      <c r="JD322" s="21"/>
      <c r="JE322" s="21"/>
      <c r="JF322" s="21"/>
      <c r="JG322" s="21"/>
      <c r="JH322" s="21"/>
      <c r="JI322" s="168">
        <v>2136685</v>
      </c>
      <c r="JJ322" s="168">
        <v>2865572</v>
      </c>
      <c r="JK322" s="168">
        <v>180688</v>
      </c>
      <c r="JL322" s="168">
        <v>265407</v>
      </c>
      <c r="JM322" s="168">
        <v>74188878</v>
      </c>
      <c r="JN322" s="168">
        <v>73311668</v>
      </c>
      <c r="JO322" s="168">
        <v>41439</v>
      </c>
      <c r="JP322" s="168">
        <v>46995</v>
      </c>
      <c r="JQ322" s="21"/>
      <c r="JR322" s="21"/>
      <c r="JS322" s="21"/>
      <c r="JT322" s="21"/>
      <c r="JU322" s="21"/>
      <c r="JV322" s="21"/>
      <c r="JW322" s="168">
        <v>73669467</v>
      </c>
      <c r="JX322" s="168">
        <v>72654654</v>
      </c>
      <c r="JY322" s="21"/>
      <c r="JZ322" s="21"/>
      <c r="KA322" s="21"/>
      <c r="KB322" s="21"/>
      <c r="KC322" s="21"/>
      <c r="KD322" s="21"/>
      <c r="KE322" s="21"/>
      <c r="KF322" s="21"/>
      <c r="KG322" s="21"/>
      <c r="KH322" s="21"/>
      <c r="KI322" s="21"/>
      <c r="KJ322" s="21"/>
      <c r="KK322" s="21"/>
      <c r="KL322" s="21"/>
      <c r="KM322" s="21"/>
      <c r="KN322" s="21"/>
      <c r="KO322" s="21"/>
      <c r="KP322" s="21"/>
      <c r="KQ322" s="168">
        <v>3018137</v>
      </c>
      <c r="KR322" s="168">
        <v>3415557</v>
      </c>
      <c r="KS322" s="21"/>
      <c r="KT322" s="21"/>
      <c r="KU322" s="21"/>
      <c r="KV322" s="21"/>
      <c r="KW322" s="21"/>
      <c r="KX322" s="21"/>
      <c r="KY322" s="21"/>
      <c r="KZ322" s="21"/>
      <c r="LA322" s="168">
        <v>40000</v>
      </c>
      <c r="LB322" s="168">
        <v>40000</v>
      </c>
      <c r="LC322" s="21"/>
      <c r="LD322" s="21"/>
      <c r="LE322" s="21"/>
      <c r="LF322" s="21"/>
      <c r="LG322" s="21"/>
      <c r="LH322" s="21"/>
      <c r="LI322" s="21"/>
      <c r="LJ322" s="21"/>
      <c r="LK322" s="168">
        <v>2792829</v>
      </c>
      <c r="LL322" s="168">
        <v>3441768</v>
      </c>
      <c r="LM322" s="21"/>
      <c r="LN322" s="21"/>
      <c r="LO322" s="21"/>
      <c r="LP322" s="21"/>
      <c r="LQ322" s="21"/>
      <c r="LR322" s="21"/>
      <c r="LS322" s="21"/>
      <c r="LT322" s="21"/>
      <c r="LU322" s="21"/>
      <c r="LV322" s="21"/>
      <c r="LW322" s="21"/>
      <c r="LX322" s="21"/>
      <c r="LY322" s="21"/>
      <c r="LZ322" s="21"/>
      <c r="MA322" s="21"/>
      <c r="MB322" s="21"/>
      <c r="MC322" s="168">
        <v>10634877</v>
      </c>
      <c r="MD322" s="168">
        <v>11214242</v>
      </c>
      <c r="ME322" s="21"/>
      <c r="MF322" s="21"/>
      <c r="MG322" s="21"/>
      <c r="MH322" s="21"/>
      <c r="MI322" s="21"/>
      <c r="MJ322" s="21"/>
      <c r="MK322" s="21"/>
      <c r="ML322" s="21"/>
      <c r="MM322" s="21"/>
      <c r="MN322" s="21"/>
      <c r="MO322" s="21"/>
      <c r="MP322" s="21"/>
      <c r="MQ322" s="21"/>
      <c r="MR322" s="21"/>
      <c r="MS322" s="21"/>
      <c r="MT322" s="21"/>
      <c r="MU322" s="21"/>
      <c r="MV322" s="21"/>
      <c r="MW322" s="21"/>
      <c r="MX322" s="21"/>
      <c r="MY322" s="21"/>
      <c r="MZ322" s="21"/>
      <c r="NA322" s="21"/>
      <c r="NB322" s="21"/>
      <c r="NC322" s="168">
        <v>1877367</v>
      </c>
      <c r="ND322" s="168">
        <v>2048432</v>
      </c>
      <c r="NE322" s="21"/>
      <c r="NF322" s="21"/>
      <c r="NG322" s="168">
        <v>15618970</v>
      </c>
      <c r="NH322" s="168">
        <v>14240887</v>
      </c>
      <c r="NI322" s="21"/>
      <c r="NJ322" s="21"/>
      <c r="NK322" s="21"/>
      <c r="NL322" s="21"/>
      <c r="NM322" s="21"/>
      <c r="NN322" s="21"/>
      <c r="NO322" s="168">
        <v>32186266</v>
      </c>
      <c r="NP322" s="168">
        <v>32537106</v>
      </c>
      <c r="NQ322" s="168" t="s">
        <v>1441</v>
      </c>
      <c r="NR322" s="168" t="s">
        <v>769</v>
      </c>
      <c r="NS322" s="168" t="s">
        <v>770</v>
      </c>
      <c r="NT322" s="168" t="s">
        <v>771</v>
      </c>
      <c r="NU322" s="168">
        <v>1704</v>
      </c>
      <c r="NV322" s="168" t="s">
        <v>2104</v>
      </c>
      <c r="NW322" s="168" t="s">
        <v>28</v>
      </c>
      <c r="NX322" s="168" t="s">
        <v>25</v>
      </c>
      <c r="NY322" s="169">
        <v>42766</v>
      </c>
      <c r="NZ322" s="169">
        <v>42400</v>
      </c>
      <c r="OA322" s="169">
        <v>42956</v>
      </c>
      <c r="OB322" s="168" t="s">
        <v>1442</v>
      </c>
      <c r="OC322" s="168">
        <v>12</v>
      </c>
      <c r="OD322" s="168" t="s">
        <v>2105</v>
      </c>
      <c r="OE322" s="168" t="s">
        <v>2544</v>
      </c>
      <c r="OF322" s="168" t="s">
        <v>2545</v>
      </c>
      <c r="OG322" s="168" t="s">
        <v>2020</v>
      </c>
      <c r="OH322" s="168" t="s">
        <v>824</v>
      </c>
      <c r="OI322" s="168" t="s">
        <v>766</v>
      </c>
      <c r="OJ322" s="168" t="s">
        <v>3240</v>
      </c>
      <c r="OK322" s="168" t="s">
        <v>767</v>
      </c>
    </row>
    <row r="323" spans="1:401" x14ac:dyDescent="0.2">
      <c r="A323" s="170" t="str">
        <f>Liste[[#This Row],[Siren]]</f>
        <v>483665121</v>
      </c>
      <c r="B323" s="198" t="str">
        <f>Liste[[#This Row],[Dénomination]]&amp;" - comptes "&amp;YEAR(Liste[[#This Row],[Date de cloture de l''exercice]])</f>
        <v>ANBISO - comptes 2017</v>
      </c>
      <c r="C323" s="21"/>
      <c r="D323" s="21"/>
      <c r="E323" s="21"/>
      <c r="F323" s="168">
        <v>3941675</v>
      </c>
      <c r="G323" s="168">
        <v>3850697</v>
      </c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168">
        <v>674603</v>
      </c>
      <c r="BE323" s="168">
        <v>552172</v>
      </c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1"/>
      <c r="BR323" s="21"/>
      <c r="BS323" s="21"/>
      <c r="BT323" s="21"/>
      <c r="BU323" s="21"/>
      <c r="BV323" s="21"/>
      <c r="BW323" s="21"/>
      <c r="BX323" s="168">
        <v>1476527</v>
      </c>
      <c r="BY323" s="168">
        <v>2573430</v>
      </c>
      <c r="BZ323" s="21"/>
      <c r="CA323" s="21"/>
      <c r="CB323" s="21"/>
      <c r="CC323" s="21"/>
      <c r="CD323" s="21"/>
      <c r="CE323" s="168">
        <v>6898793</v>
      </c>
      <c r="CF323" s="168">
        <v>323260</v>
      </c>
      <c r="CG323" s="21"/>
      <c r="CH323" s="21"/>
      <c r="CI323" s="21"/>
      <c r="CJ323" s="21"/>
      <c r="CK323" s="21"/>
      <c r="CL323" s="21"/>
      <c r="CM323" s="21"/>
      <c r="CN323" s="21"/>
      <c r="CO323" s="21"/>
      <c r="CP323" s="21"/>
      <c r="CQ323" s="21"/>
      <c r="CR323" s="21"/>
      <c r="CS323" s="21"/>
      <c r="CT323" s="21"/>
      <c r="CU323" s="21"/>
      <c r="CV323" s="21"/>
      <c r="CW323" s="21"/>
      <c r="CX323" s="21"/>
      <c r="CY323" s="21"/>
      <c r="CZ323" s="21"/>
      <c r="DA323" s="21"/>
      <c r="DB323" s="21"/>
      <c r="DC323" s="21"/>
      <c r="DD323" s="21"/>
      <c r="DE323" s="21"/>
      <c r="DF323" s="21"/>
      <c r="DG323" s="21"/>
      <c r="DH323" s="21"/>
      <c r="DI323" s="21"/>
      <c r="DJ323" s="21"/>
      <c r="DK323" s="21"/>
      <c r="DL323" s="21"/>
      <c r="DM323" s="21"/>
      <c r="DN323" s="21"/>
      <c r="DO323" s="21"/>
      <c r="DP323" s="21"/>
      <c r="DQ323" s="21"/>
      <c r="DR323" s="21"/>
      <c r="DS323" s="21"/>
      <c r="DT323" s="21"/>
      <c r="DU323" s="21"/>
      <c r="DV323" s="21"/>
      <c r="DW323" s="21"/>
      <c r="DX323" s="21"/>
      <c r="DY323" s="21"/>
      <c r="DZ323" s="21"/>
      <c r="EA323" s="21"/>
      <c r="EB323" s="21"/>
      <c r="EC323" s="21"/>
      <c r="ED323" s="21"/>
      <c r="EE323" s="21"/>
      <c r="EF323" s="21"/>
      <c r="EG323" s="21"/>
      <c r="EH323" s="21"/>
      <c r="EI323" s="21"/>
      <c r="EJ323" s="21"/>
      <c r="EK323" s="21"/>
      <c r="EL323" s="168">
        <v>27348875</v>
      </c>
      <c r="EM323" s="168">
        <v>32049960</v>
      </c>
      <c r="EN323" s="21"/>
      <c r="EO323" s="21"/>
      <c r="EP323" s="168">
        <v>12987088</v>
      </c>
      <c r="EQ323" s="168">
        <v>14480380</v>
      </c>
      <c r="ER323" s="21"/>
      <c r="ES323" s="21"/>
      <c r="ET323" s="168">
        <v>47926662</v>
      </c>
      <c r="EU323" s="168">
        <v>47496826</v>
      </c>
      <c r="EV323" s="21"/>
      <c r="EW323" s="21"/>
      <c r="EX323" s="21"/>
      <c r="EY323" s="21"/>
      <c r="EZ323" s="21"/>
      <c r="FA323" s="21"/>
      <c r="FB323" s="21"/>
      <c r="FC323" s="21"/>
      <c r="FD323" s="21"/>
      <c r="FE323" s="21"/>
      <c r="FF323" s="168">
        <v>1152220</v>
      </c>
      <c r="FG323" s="168">
        <v>2584851</v>
      </c>
      <c r="FH323" s="21"/>
      <c r="FI323" s="168">
        <v>40947</v>
      </c>
      <c r="FJ323" s="168">
        <v>-134307</v>
      </c>
      <c r="FK323" s="21"/>
      <c r="FL323" s="21"/>
      <c r="FM323" s="21"/>
      <c r="FN323" s="21"/>
      <c r="FO323" s="21"/>
      <c r="FP323" s="21"/>
      <c r="FQ323" s="168">
        <v>146997</v>
      </c>
      <c r="FR323" s="168">
        <v>46997</v>
      </c>
      <c r="FS323" s="21"/>
      <c r="FT323" s="21"/>
      <c r="FU323" s="21"/>
      <c r="FV323" s="21"/>
      <c r="FW323" s="21"/>
      <c r="FX323" s="21"/>
      <c r="FY323" s="168">
        <v>8322</v>
      </c>
      <c r="FZ323" s="168">
        <v>8329</v>
      </c>
      <c r="GA323" s="21"/>
      <c r="GB323" s="21"/>
      <c r="GC323" s="21"/>
      <c r="GD323" s="21"/>
      <c r="GE323" s="21"/>
      <c r="GF323" s="21"/>
      <c r="GG323" s="21"/>
      <c r="GH323" s="21"/>
      <c r="GI323" s="21"/>
      <c r="GJ323" s="21"/>
      <c r="GK323" s="21"/>
      <c r="GL323" s="21"/>
      <c r="GM323" s="168">
        <v>1505147</v>
      </c>
      <c r="GN323" s="168">
        <v>1096944</v>
      </c>
      <c r="GO323" s="168">
        <v>1660466</v>
      </c>
      <c r="GP323" s="168">
        <v>1152270</v>
      </c>
      <c r="GQ323" s="21"/>
      <c r="GR323" s="21"/>
      <c r="GS323" s="21"/>
      <c r="GT323" s="21"/>
      <c r="GU323" s="168">
        <v>153541</v>
      </c>
      <c r="GV323" s="168">
        <v>1517158</v>
      </c>
      <c r="GW323" s="168">
        <v>194488</v>
      </c>
      <c r="GX323" s="168">
        <v>1382851</v>
      </c>
      <c r="GY323" s="21"/>
      <c r="GZ323" s="21"/>
      <c r="HA323" s="21"/>
      <c r="HB323" s="21"/>
      <c r="HC323" s="168">
        <v>5214580</v>
      </c>
      <c r="HD323" s="168">
        <v>4674742</v>
      </c>
      <c r="HE323" s="21"/>
      <c r="HF323" s="21"/>
      <c r="HG323" s="21"/>
      <c r="HH323" s="21"/>
      <c r="HI323" s="168">
        <v>279962</v>
      </c>
      <c r="HJ323" s="168">
        <v>286883</v>
      </c>
      <c r="HK323" s="21"/>
      <c r="HL323" s="21"/>
      <c r="HM323" s="21"/>
      <c r="HN323" s="21"/>
      <c r="HO323" s="21"/>
      <c r="HP323" s="21"/>
      <c r="HQ323" s="21"/>
      <c r="HR323" s="21"/>
      <c r="HS323" s="21"/>
      <c r="HT323" s="21"/>
      <c r="HU323" s="168">
        <v>1436844</v>
      </c>
      <c r="HV323" s="168">
        <v>1163073</v>
      </c>
      <c r="HW323" s="21"/>
      <c r="HX323" s="21"/>
      <c r="HY323" s="168">
        <v>52759</v>
      </c>
      <c r="HZ323" s="168">
        <v>194832</v>
      </c>
      <c r="IA323" s="21"/>
      <c r="IB323" s="21"/>
      <c r="IC323" s="21"/>
      <c r="ID323" s="21"/>
      <c r="IE323" s="168">
        <v>1252356</v>
      </c>
      <c r="IF323" s="168">
        <v>1208798</v>
      </c>
      <c r="IG323" s="21"/>
      <c r="IH323" s="21"/>
      <c r="II323" s="21"/>
      <c r="IJ323" s="21"/>
      <c r="IK323" s="21"/>
      <c r="IL323" s="21"/>
      <c r="IM323" s="21"/>
      <c r="IN323" s="21"/>
      <c r="IO323" s="21"/>
      <c r="IP323" s="21"/>
      <c r="IQ323" s="21"/>
      <c r="IR323" s="21"/>
      <c r="IS323" s="21"/>
      <c r="IT323" s="21"/>
      <c r="IU323" s="168">
        <v>2546061</v>
      </c>
      <c r="IV323" s="168">
        <v>2093981</v>
      </c>
      <c r="IW323" s="168">
        <v>2752547</v>
      </c>
      <c r="IX323" s="168">
        <v>2133454</v>
      </c>
      <c r="IY323" s="168">
        <v>-207274</v>
      </c>
      <c r="IZ323" s="168">
        <v>-39473</v>
      </c>
      <c r="JA323" s="21"/>
      <c r="JB323" s="21"/>
      <c r="JC323" s="21"/>
      <c r="JD323" s="21"/>
      <c r="JE323" s="21"/>
      <c r="JF323" s="21"/>
      <c r="JG323" s="168">
        <v>25792</v>
      </c>
      <c r="JH323" s="168">
        <v>14147</v>
      </c>
      <c r="JI323" s="168">
        <v>81436021</v>
      </c>
      <c r="JJ323" s="168">
        <v>77666582</v>
      </c>
      <c r="JK323" s="168">
        <v>503295</v>
      </c>
      <c r="JL323" s="168">
        <v>243000</v>
      </c>
      <c r="JM323" s="168">
        <v>790494</v>
      </c>
      <c r="JN323" s="168">
        <v>790775</v>
      </c>
      <c r="JO323" s="168">
        <v>296021</v>
      </c>
      <c r="JP323" s="168">
        <v>203527</v>
      </c>
      <c r="JQ323" s="21"/>
      <c r="JR323" s="21"/>
      <c r="JS323" s="21"/>
      <c r="JT323" s="21"/>
      <c r="JU323" s="21"/>
      <c r="JV323" s="21"/>
      <c r="JW323" s="168">
        <v>83398074</v>
      </c>
      <c r="JX323" s="168">
        <v>79009261</v>
      </c>
      <c r="JY323" s="21"/>
      <c r="JZ323" s="21"/>
      <c r="KA323" s="21"/>
      <c r="KB323" s="21"/>
      <c r="KC323" s="21"/>
      <c r="KD323" s="21"/>
      <c r="KE323" s="21"/>
      <c r="KF323" s="21"/>
      <c r="KG323" s="21"/>
      <c r="KH323" s="21"/>
      <c r="KI323" s="168">
        <v>62641512</v>
      </c>
      <c r="KJ323" s="168">
        <v>57800518</v>
      </c>
      <c r="KK323" s="21"/>
      <c r="KL323" s="21"/>
      <c r="KM323" s="21"/>
      <c r="KN323" s="21"/>
      <c r="KO323" s="21"/>
      <c r="KP323" s="21"/>
      <c r="KQ323" s="168">
        <v>2113162</v>
      </c>
      <c r="KR323" s="168">
        <v>2998963</v>
      </c>
      <c r="KS323" s="21"/>
      <c r="KT323" s="21"/>
      <c r="KU323" s="21"/>
      <c r="KV323" s="21"/>
      <c r="KW323" s="21"/>
      <c r="KX323" s="21"/>
      <c r="KY323" s="21"/>
      <c r="KZ323" s="21"/>
      <c r="LA323" s="168">
        <v>8562030</v>
      </c>
      <c r="LB323" s="168">
        <v>8562030</v>
      </c>
      <c r="LC323" s="21"/>
      <c r="LD323" s="21"/>
      <c r="LE323" s="21"/>
      <c r="LF323" s="21"/>
      <c r="LG323" s="21"/>
      <c r="LH323" s="21"/>
      <c r="LI323" s="168">
        <v>4115909</v>
      </c>
      <c r="LJ323" s="168">
        <v>4301653</v>
      </c>
      <c r="LK323" s="168">
        <v>5920205</v>
      </c>
      <c r="LL323" s="168">
        <v>4791865</v>
      </c>
      <c r="LM323" s="168">
        <v>136350</v>
      </c>
      <c r="LN323" s="168">
        <v>992935</v>
      </c>
      <c r="LO323" s="21"/>
      <c r="LP323" s="21"/>
      <c r="LQ323" s="21"/>
      <c r="LR323" s="21"/>
      <c r="LS323" s="21"/>
      <c r="LT323" s="21"/>
      <c r="LU323" s="21"/>
      <c r="LV323" s="21"/>
      <c r="LW323" s="21"/>
      <c r="LX323" s="21"/>
      <c r="LY323" s="21"/>
      <c r="LZ323" s="21"/>
      <c r="MA323" s="21"/>
      <c r="MB323" s="21"/>
      <c r="MC323" s="168">
        <v>13363340</v>
      </c>
      <c r="MD323" s="168">
        <v>13052491</v>
      </c>
      <c r="ME323" s="21"/>
      <c r="MF323" s="21"/>
      <c r="MG323" s="21"/>
      <c r="MH323" s="21"/>
      <c r="MI323" s="21"/>
      <c r="MJ323" s="21"/>
      <c r="MK323" s="21"/>
      <c r="ML323" s="21"/>
      <c r="MM323" s="21"/>
      <c r="MN323" s="21"/>
      <c r="MO323" s="21"/>
      <c r="MP323" s="21"/>
      <c r="MQ323" s="21"/>
      <c r="MR323" s="21"/>
      <c r="MS323" s="168">
        <v>-3</v>
      </c>
      <c r="MT323" s="168">
        <v>-2</v>
      </c>
      <c r="MU323" s="21"/>
      <c r="MV323" s="21"/>
      <c r="MW323" s="21"/>
      <c r="MX323" s="21"/>
      <c r="MY323" s="21"/>
      <c r="MZ323" s="21"/>
      <c r="NA323" s="21"/>
      <c r="NB323" s="21"/>
      <c r="NC323" s="168">
        <v>1505147</v>
      </c>
      <c r="ND323" s="168">
        <v>1096944</v>
      </c>
      <c r="NE323" s="21"/>
      <c r="NF323" s="21"/>
      <c r="NG323" s="168">
        <v>19997617</v>
      </c>
      <c r="NH323" s="168">
        <v>19006243</v>
      </c>
      <c r="NI323" s="21"/>
      <c r="NJ323" s="21"/>
      <c r="NK323" s="168">
        <v>32276</v>
      </c>
      <c r="NL323" s="168">
        <v>28261</v>
      </c>
      <c r="NM323" s="168">
        <v>25723674</v>
      </c>
      <c r="NN323" s="168">
        <v>26191888</v>
      </c>
      <c r="NO323" s="168">
        <v>47926662</v>
      </c>
      <c r="NP323" s="168">
        <v>47496826</v>
      </c>
      <c r="NQ323" s="168" t="s">
        <v>1443</v>
      </c>
      <c r="NR323" s="168" t="s">
        <v>769</v>
      </c>
      <c r="NS323" s="168" t="s">
        <v>770</v>
      </c>
      <c r="NT323" s="168" t="s">
        <v>771</v>
      </c>
      <c r="NU323" s="168">
        <v>6401</v>
      </c>
      <c r="NV323" s="168" t="s">
        <v>2104</v>
      </c>
      <c r="NW323" s="168" t="s">
        <v>28</v>
      </c>
      <c r="NX323" s="168" t="s">
        <v>25</v>
      </c>
      <c r="NY323" s="169">
        <v>42766</v>
      </c>
      <c r="NZ323" s="169">
        <v>42400</v>
      </c>
      <c r="OA323" s="169">
        <v>42991</v>
      </c>
      <c r="OB323" s="168" t="s">
        <v>1444</v>
      </c>
      <c r="OC323" s="168">
        <v>12</v>
      </c>
      <c r="OD323" s="168" t="s">
        <v>2105</v>
      </c>
      <c r="OE323" s="168" t="s">
        <v>2348</v>
      </c>
      <c r="OF323" s="168" t="s">
        <v>2546</v>
      </c>
      <c r="OG323" s="168" t="s">
        <v>2021</v>
      </c>
      <c r="OH323" s="168" t="s">
        <v>897</v>
      </c>
      <c r="OI323" s="168" t="s">
        <v>766</v>
      </c>
      <c r="OJ323" s="168" t="s">
        <v>3240</v>
      </c>
      <c r="OK323" s="168" t="s">
        <v>767</v>
      </c>
    </row>
    <row r="324" spans="1:401" x14ac:dyDescent="0.2">
      <c r="A324" s="170" t="str">
        <f>Liste[[#This Row],[Siren]]</f>
        <v>418691341</v>
      </c>
      <c r="B324" s="198" t="str">
        <f>Liste[[#This Row],[Dénomination]]&amp;" - comptes "&amp;YEAR(Liste[[#This Row],[Date de cloture de l''exercice]])</f>
        <v>KERSEGAL - comptes 2017</v>
      </c>
      <c r="C324" s="21"/>
      <c r="D324" s="21"/>
      <c r="E324" s="21"/>
      <c r="F324" s="168">
        <v>343000</v>
      </c>
      <c r="G324" s="168">
        <v>206000</v>
      </c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168">
        <v>86000</v>
      </c>
      <c r="BA324" s="168">
        <v>48000</v>
      </c>
      <c r="BB324" s="21"/>
      <c r="BC324" s="21"/>
      <c r="BD324" s="168">
        <v>172000</v>
      </c>
      <c r="BE324" s="168">
        <v>124000</v>
      </c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  <c r="BS324" s="21"/>
      <c r="BT324" s="21"/>
      <c r="BU324" s="21"/>
      <c r="BV324" s="21"/>
      <c r="BW324" s="21"/>
      <c r="BX324" s="168">
        <v>5635000</v>
      </c>
      <c r="BY324" s="168">
        <v>4822000</v>
      </c>
      <c r="BZ324" s="21"/>
      <c r="CA324" s="21"/>
      <c r="CB324" s="21"/>
      <c r="CC324" s="21"/>
      <c r="CD324" s="21"/>
      <c r="CE324" s="21"/>
      <c r="CF324" s="21"/>
      <c r="CG324" s="21"/>
      <c r="CH324" s="21"/>
      <c r="CI324" s="21"/>
      <c r="CJ324" s="21"/>
      <c r="CK324" s="21"/>
      <c r="CL324" s="21"/>
      <c r="CM324" s="21"/>
      <c r="CN324" s="21"/>
      <c r="CO324" s="21"/>
      <c r="CP324" s="21"/>
      <c r="CQ324" s="21"/>
      <c r="CR324" s="21"/>
      <c r="CS324" s="21"/>
      <c r="CT324" s="21"/>
      <c r="CU324" s="21"/>
      <c r="CV324" s="21"/>
      <c r="CW324" s="21"/>
      <c r="CX324" s="21"/>
      <c r="CY324" s="21"/>
      <c r="CZ324" s="21"/>
      <c r="DA324" s="21"/>
      <c r="DB324" s="21"/>
      <c r="DC324" s="21"/>
      <c r="DD324" s="21"/>
      <c r="DE324" s="21"/>
      <c r="DF324" s="21"/>
      <c r="DG324" s="21"/>
      <c r="DH324" s="21"/>
      <c r="DI324" s="21"/>
      <c r="DJ324" s="21"/>
      <c r="DK324" s="21"/>
      <c r="DL324" s="21"/>
      <c r="DM324" s="21"/>
      <c r="DN324" s="21"/>
      <c r="DO324" s="168">
        <v>5657000</v>
      </c>
      <c r="DP324" s="168">
        <v>5632000</v>
      </c>
      <c r="DQ324" s="21"/>
      <c r="DR324" s="21"/>
      <c r="DS324" s="21"/>
      <c r="DT324" s="21"/>
      <c r="DU324" s="21"/>
      <c r="DV324" s="21"/>
      <c r="DW324" s="21"/>
      <c r="DX324" s="21"/>
      <c r="DY324" s="21"/>
      <c r="DZ324" s="21"/>
      <c r="EA324" s="21"/>
      <c r="EB324" s="21"/>
      <c r="EC324" s="21"/>
      <c r="ED324" s="21"/>
      <c r="EE324" s="21"/>
      <c r="EF324" s="21"/>
      <c r="EG324" s="21"/>
      <c r="EH324" s="21"/>
      <c r="EI324" s="21"/>
      <c r="EJ324" s="21"/>
      <c r="EK324" s="21"/>
      <c r="EL324" s="168">
        <v>5657000</v>
      </c>
      <c r="EM324" s="168">
        <v>5632000</v>
      </c>
      <c r="EN324" s="21"/>
      <c r="EO324" s="21"/>
      <c r="EP324" s="168">
        <v>10339000</v>
      </c>
      <c r="EQ324" s="168">
        <v>10507000</v>
      </c>
      <c r="ER324" s="21"/>
      <c r="ES324" s="21"/>
      <c r="ET324" s="168">
        <v>15997000</v>
      </c>
      <c r="EU324" s="168">
        <v>16139000</v>
      </c>
      <c r="EV324" s="21"/>
      <c r="EW324" s="21"/>
      <c r="EX324" s="21"/>
      <c r="EY324" s="21"/>
      <c r="EZ324" s="21"/>
      <c r="FA324" s="21"/>
      <c r="FB324" s="21"/>
      <c r="FC324" s="21"/>
      <c r="FD324" s="21"/>
      <c r="FE324" s="21"/>
      <c r="FF324" s="168">
        <v>1700000</v>
      </c>
      <c r="FG324" s="168">
        <v>3100000</v>
      </c>
      <c r="FH324" s="21"/>
      <c r="FI324" s="168">
        <v>-7</v>
      </c>
      <c r="FJ324" s="168">
        <v>15</v>
      </c>
      <c r="FK324" s="168">
        <v>1056</v>
      </c>
      <c r="FL324" s="168">
        <v>1076</v>
      </c>
      <c r="FM324" s="21"/>
      <c r="FN324" s="21"/>
      <c r="FO324" s="21"/>
      <c r="FP324" s="21"/>
      <c r="FQ324" s="21"/>
      <c r="FR324" s="21"/>
      <c r="FS324" s="21"/>
      <c r="FT324" s="21"/>
      <c r="FU324" s="21"/>
      <c r="FV324" s="21"/>
      <c r="FW324" s="21"/>
      <c r="FX324" s="21"/>
      <c r="FY324" s="21"/>
      <c r="FZ324" s="21"/>
      <c r="GA324" s="168">
        <v>-347</v>
      </c>
      <c r="GB324" s="168">
        <v>-363</v>
      </c>
      <c r="GC324" s="21"/>
      <c r="GD324" s="21"/>
      <c r="GE324" s="21"/>
      <c r="GF324" s="21"/>
      <c r="GG324" s="21"/>
      <c r="GH324" s="21"/>
      <c r="GI324" s="21"/>
      <c r="GJ324" s="21"/>
      <c r="GK324" s="21"/>
      <c r="GL324" s="21"/>
      <c r="GM324" s="21"/>
      <c r="GN324" s="21"/>
      <c r="GO324" s="21"/>
      <c r="GP324" s="21"/>
      <c r="GQ324" s="21"/>
      <c r="GR324" s="21"/>
      <c r="GS324" s="168">
        <v>1056</v>
      </c>
      <c r="GT324" s="168">
        <v>1076</v>
      </c>
      <c r="GU324" s="168">
        <v>-46</v>
      </c>
      <c r="GV324" s="168">
        <v>-34</v>
      </c>
      <c r="GW324" s="168">
        <v>39</v>
      </c>
      <c r="GX324" s="168">
        <v>50</v>
      </c>
      <c r="GY324" s="21"/>
      <c r="GZ324" s="21"/>
      <c r="HA324" s="21"/>
      <c r="HB324" s="21"/>
      <c r="HC324" s="168">
        <v>-1643</v>
      </c>
      <c r="HD324" s="168">
        <v>-1509</v>
      </c>
      <c r="HE324" s="168">
        <v>-20</v>
      </c>
      <c r="HF324" s="168">
        <v>-3</v>
      </c>
      <c r="HG324" s="21"/>
      <c r="HH324" s="21"/>
      <c r="HI324" s="168">
        <v>15</v>
      </c>
      <c r="HJ324" s="168">
        <v>18</v>
      </c>
      <c r="HK324" s="21"/>
      <c r="HL324" s="21"/>
      <c r="HM324" s="21"/>
      <c r="HN324" s="21"/>
      <c r="HO324" s="21"/>
      <c r="HP324" s="21"/>
      <c r="HQ324" s="21"/>
      <c r="HR324" s="21"/>
      <c r="HS324" s="21"/>
      <c r="HT324" s="21"/>
      <c r="HU324" s="21"/>
      <c r="HV324" s="21"/>
      <c r="HW324" s="21"/>
      <c r="HX324" s="21"/>
      <c r="HY324" s="21"/>
      <c r="HZ324" s="21"/>
      <c r="IA324" s="21"/>
      <c r="IB324" s="21"/>
      <c r="IC324" s="21"/>
      <c r="ID324" s="21"/>
      <c r="IE324" s="168">
        <v>-386</v>
      </c>
      <c r="IF324" s="168">
        <v>-370</v>
      </c>
      <c r="IG324" s="21"/>
      <c r="IH324" s="21"/>
      <c r="II324" s="21"/>
      <c r="IJ324" s="21"/>
      <c r="IK324" s="21"/>
      <c r="IL324" s="21"/>
      <c r="IM324" s="21"/>
      <c r="IN324" s="21"/>
      <c r="IO324" s="21"/>
      <c r="IP324" s="21"/>
      <c r="IQ324" s="21"/>
      <c r="IR324" s="21"/>
      <c r="IS324" s="21"/>
      <c r="IT324" s="21"/>
      <c r="IU324" s="168">
        <v>1410</v>
      </c>
      <c r="IV324" s="168">
        <v>1424</v>
      </c>
      <c r="IW324" s="168">
        <v>1411</v>
      </c>
      <c r="IX324" s="168">
        <v>1410</v>
      </c>
      <c r="IY324" s="168">
        <v>-1</v>
      </c>
      <c r="IZ324" s="168">
        <v>13</v>
      </c>
      <c r="JA324" s="168">
        <v>30</v>
      </c>
      <c r="JB324" s="168">
        <v>19</v>
      </c>
      <c r="JC324" s="21"/>
      <c r="JD324" s="21"/>
      <c r="JE324" s="21"/>
      <c r="JF324" s="21"/>
      <c r="JG324" s="21"/>
      <c r="JH324" s="21"/>
      <c r="JI324" s="21"/>
      <c r="JJ324" s="21"/>
      <c r="JK324" s="168">
        <v>-67</v>
      </c>
      <c r="JL324" s="168">
        <v>-83</v>
      </c>
      <c r="JM324" s="21"/>
      <c r="JN324" s="21"/>
      <c r="JO324" s="168">
        <v>66</v>
      </c>
      <c r="JP324" s="168">
        <v>96</v>
      </c>
      <c r="JQ324" s="21"/>
      <c r="JR324" s="21"/>
      <c r="JS324" s="21"/>
      <c r="JT324" s="21"/>
      <c r="JU324" s="21"/>
      <c r="JV324" s="21"/>
      <c r="JW324" s="168">
        <v>33157</v>
      </c>
      <c r="JX324" s="168">
        <v>31865</v>
      </c>
      <c r="JY324" s="21"/>
      <c r="JZ324" s="21"/>
      <c r="KA324" s="21"/>
      <c r="KB324" s="21"/>
      <c r="KC324" s="21"/>
      <c r="KD324" s="21"/>
      <c r="KE324" s="21"/>
      <c r="KF324" s="21"/>
      <c r="KG324" s="21"/>
      <c r="KH324" s="21"/>
      <c r="KI324" s="21"/>
      <c r="KJ324" s="21"/>
      <c r="KK324" s="21"/>
      <c r="KL324" s="21"/>
      <c r="KM324" s="21"/>
      <c r="KN324" s="21"/>
      <c r="KO324" s="21"/>
      <c r="KP324" s="21"/>
      <c r="KQ324" s="168">
        <v>26000</v>
      </c>
      <c r="KR324" s="168">
        <v>23000</v>
      </c>
      <c r="KS324" s="21"/>
      <c r="KT324" s="21"/>
      <c r="KU324" s="21"/>
      <c r="KV324" s="21"/>
      <c r="KW324" s="21"/>
      <c r="KX324" s="21"/>
      <c r="KY324" s="21"/>
      <c r="KZ324" s="21"/>
      <c r="LA324" s="168">
        <v>4000000</v>
      </c>
      <c r="LB324" s="168">
        <v>4000000</v>
      </c>
      <c r="LC324" s="21"/>
      <c r="LD324" s="21"/>
      <c r="LE324" s="21"/>
      <c r="LF324" s="21"/>
      <c r="LG324" s="21"/>
      <c r="LH324" s="21"/>
      <c r="LI324" s="168">
        <v>908000</v>
      </c>
      <c r="LJ324" s="168">
        <v>906000</v>
      </c>
      <c r="LK324" s="168">
        <v>1925000</v>
      </c>
      <c r="LL324" s="168">
        <v>1738000</v>
      </c>
      <c r="LM324" s="21"/>
      <c r="LN324" s="21"/>
      <c r="LO324" s="21"/>
      <c r="LP324" s="21"/>
      <c r="LQ324" s="21"/>
      <c r="LR324" s="21"/>
      <c r="LS324" s="21"/>
      <c r="LT324" s="21"/>
      <c r="LU324" s="21"/>
      <c r="LV324" s="21"/>
      <c r="LW324" s="21"/>
      <c r="LX324" s="21"/>
      <c r="LY324" s="21"/>
      <c r="LZ324" s="21"/>
      <c r="MA324" s="168">
        <v>3979000</v>
      </c>
      <c r="MB324" s="168">
        <v>3932000</v>
      </c>
      <c r="MC324" s="21"/>
      <c r="MD324" s="21"/>
      <c r="ME324" s="21"/>
      <c r="MF324" s="21"/>
      <c r="MG324" s="21"/>
      <c r="MH324" s="21"/>
      <c r="MI324" s="168">
        <v>1970000</v>
      </c>
      <c r="MJ324" s="168">
        <v>1970000</v>
      </c>
      <c r="MK324" s="21"/>
      <c r="ML324" s="21"/>
      <c r="MM324" s="21"/>
      <c r="MN324" s="21"/>
      <c r="MO324" s="21"/>
      <c r="MP324" s="21"/>
      <c r="MQ324" s="21"/>
      <c r="MR324" s="21"/>
      <c r="MS324" s="21"/>
      <c r="MT324" s="21"/>
      <c r="MU324" s="21"/>
      <c r="MV324" s="21"/>
      <c r="MW324" s="21"/>
      <c r="MX324" s="21"/>
      <c r="MY324" s="21"/>
      <c r="MZ324" s="21"/>
      <c r="NA324" s="21"/>
      <c r="NB324" s="21"/>
      <c r="NC324" s="168">
        <v>1056000</v>
      </c>
      <c r="ND324" s="168">
        <v>1076000</v>
      </c>
      <c r="NE324" s="21"/>
      <c r="NF324" s="21"/>
      <c r="NG324" s="168">
        <v>9025000</v>
      </c>
      <c r="NH324" s="168">
        <v>9419000</v>
      </c>
      <c r="NI324" s="21"/>
      <c r="NJ324" s="21"/>
      <c r="NK324" s="21"/>
      <c r="NL324" s="21"/>
      <c r="NM324" s="168">
        <v>6839000</v>
      </c>
      <c r="NN324" s="168">
        <v>6599000</v>
      </c>
      <c r="NO324" s="168">
        <v>15997000</v>
      </c>
      <c r="NP324" s="168">
        <v>161391000</v>
      </c>
      <c r="NQ324" s="168" t="s">
        <v>1445</v>
      </c>
      <c r="NR324" s="168" t="s">
        <v>823</v>
      </c>
      <c r="NS324" s="168" t="s">
        <v>770</v>
      </c>
      <c r="NT324" s="168" t="s">
        <v>771</v>
      </c>
      <c r="NU324" s="168">
        <v>5601</v>
      </c>
      <c r="NV324" s="168" t="s">
        <v>2104</v>
      </c>
      <c r="NW324" s="168" t="s">
        <v>28</v>
      </c>
      <c r="NX324" s="168" t="s">
        <v>25</v>
      </c>
      <c r="NY324" s="169">
        <v>42766</v>
      </c>
      <c r="NZ324" s="169">
        <v>42400</v>
      </c>
      <c r="OA324" s="169">
        <v>42993</v>
      </c>
      <c r="OB324" s="168" t="s">
        <v>1446</v>
      </c>
      <c r="OC324" s="168">
        <v>12</v>
      </c>
      <c r="OD324" s="168" t="s">
        <v>2105</v>
      </c>
      <c r="OE324" s="168" t="s">
        <v>2382</v>
      </c>
      <c r="OF324" s="168" t="s">
        <v>2547</v>
      </c>
      <c r="OG324" s="168" t="s">
        <v>2022</v>
      </c>
      <c r="OH324" s="168" t="s">
        <v>1031</v>
      </c>
      <c r="OI324" s="168" t="s">
        <v>766</v>
      </c>
      <c r="OJ324" s="168" t="s">
        <v>3240</v>
      </c>
      <c r="OK324" s="168" t="s">
        <v>822</v>
      </c>
    </row>
    <row r="325" spans="1:401" x14ac:dyDescent="0.2">
      <c r="A325" s="170" t="str">
        <f>Liste[[#This Row],[Siren]]</f>
        <v>736550070</v>
      </c>
      <c r="B325" s="198" t="str">
        <f>Liste[[#This Row],[Dénomination]]&amp;" - comptes "&amp;YEAR(Liste[[#This Row],[Date de cloture de l''exercice]])</f>
        <v>LESIEUR SA - comptes 2017</v>
      </c>
      <c r="C325" s="21"/>
      <c r="D325" s="21"/>
      <c r="E325" s="21"/>
      <c r="F325" s="168">
        <v>1734665</v>
      </c>
      <c r="G325" s="168">
        <v>1404987</v>
      </c>
      <c r="H325" s="21"/>
      <c r="I325" s="21"/>
      <c r="J325" s="168">
        <v>783214</v>
      </c>
      <c r="K325" s="168">
        <v>894091</v>
      </c>
      <c r="L325" s="21"/>
      <c r="M325" s="21"/>
      <c r="N325" s="168">
        <v>93354</v>
      </c>
      <c r="O325" s="168">
        <v>62113</v>
      </c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168">
        <v>2046</v>
      </c>
      <c r="AA325" s="168">
        <v>116</v>
      </c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168">
        <v>526919</v>
      </c>
      <c r="AM325" s="168">
        <v>560411</v>
      </c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168">
        <v>140126</v>
      </c>
      <c r="BA325" s="168">
        <v>79143</v>
      </c>
      <c r="BB325" s="21"/>
      <c r="BC325" s="21"/>
      <c r="BD325" s="168">
        <v>5247190</v>
      </c>
      <c r="BE325" s="168">
        <v>3786713</v>
      </c>
      <c r="BF325" s="21"/>
      <c r="BG325" s="21"/>
      <c r="BH325" s="168">
        <v>561</v>
      </c>
      <c r="BI325" s="168">
        <v>1334</v>
      </c>
      <c r="BJ325" s="21"/>
      <c r="BK325" s="21"/>
      <c r="BL325" s="168">
        <v>173214</v>
      </c>
      <c r="BM325" s="168">
        <v>200716</v>
      </c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168">
        <v>1555264</v>
      </c>
      <c r="BY325" s="168">
        <v>1223307</v>
      </c>
      <c r="BZ325" s="21"/>
      <c r="CA325" s="21"/>
      <c r="CB325" s="21"/>
      <c r="CC325" s="21"/>
      <c r="CD325" s="21"/>
      <c r="CE325" s="21"/>
      <c r="CF325" s="21"/>
      <c r="CG325" s="21"/>
      <c r="CH325" s="21"/>
      <c r="CI325" s="21"/>
      <c r="CJ325" s="21"/>
      <c r="CK325" s="21"/>
      <c r="CL325" s="21"/>
      <c r="CM325" s="168">
        <v>9200</v>
      </c>
      <c r="CN325" s="168">
        <v>7229</v>
      </c>
      <c r="CO325" s="21"/>
      <c r="CP325" s="21"/>
      <c r="CQ325" s="168">
        <v>304843</v>
      </c>
      <c r="CR325" s="168">
        <v>420264</v>
      </c>
      <c r="CS325" s="21"/>
      <c r="CT325" s="21"/>
      <c r="CU325" s="21"/>
      <c r="CV325" s="21"/>
      <c r="CW325" s="21"/>
      <c r="CX325" s="21"/>
      <c r="CY325" s="21"/>
      <c r="CZ325" s="21"/>
      <c r="DA325" s="21"/>
      <c r="DB325" s="21"/>
      <c r="DC325" s="168">
        <v>13240</v>
      </c>
      <c r="DD325" s="21"/>
      <c r="DE325" s="21"/>
      <c r="DF325" s="21"/>
      <c r="DG325" s="168">
        <v>606666</v>
      </c>
      <c r="DH325" s="168">
        <v>737180</v>
      </c>
      <c r="DI325" s="21"/>
      <c r="DJ325" s="21"/>
      <c r="DK325" s="168">
        <v>16262855</v>
      </c>
      <c r="DL325" s="168">
        <v>14834813</v>
      </c>
      <c r="DM325" s="21"/>
      <c r="DN325" s="21"/>
      <c r="DO325" s="168">
        <v>12040</v>
      </c>
      <c r="DP325" s="168">
        <v>9056</v>
      </c>
      <c r="DQ325" s="21"/>
      <c r="DR325" s="21"/>
      <c r="DS325" s="168">
        <v>49</v>
      </c>
      <c r="DT325" s="21"/>
      <c r="DU325" s="21"/>
      <c r="DV325" s="21"/>
      <c r="DW325" s="21"/>
      <c r="DX325" s="21"/>
      <c r="DY325" s="21"/>
      <c r="DZ325" s="21"/>
      <c r="EA325" s="21"/>
      <c r="EB325" s="21"/>
      <c r="EC325" s="21"/>
      <c r="ED325" s="21"/>
      <c r="EE325" s="21"/>
      <c r="EF325" s="21"/>
      <c r="EG325" s="21"/>
      <c r="EH325" s="21"/>
      <c r="EI325" s="21"/>
      <c r="EJ325" s="21"/>
      <c r="EK325" s="21"/>
      <c r="EL325" s="168">
        <v>2377067</v>
      </c>
      <c r="EM325" s="168">
        <v>2770423</v>
      </c>
      <c r="EN325" s="21"/>
      <c r="EO325" s="21"/>
      <c r="EP325" s="168">
        <v>25856584</v>
      </c>
      <c r="EQ325" s="168">
        <v>22206568</v>
      </c>
      <c r="ER325" s="21"/>
      <c r="ES325" s="21"/>
      <c r="ET325" s="168">
        <v>28233647</v>
      </c>
      <c r="EU325" s="168">
        <v>24976991</v>
      </c>
      <c r="EV325" s="21"/>
      <c r="EW325" s="21"/>
      <c r="EX325" s="168">
        <v>399880</v>
      </c>
      <c r="EY325" s="168">
        <v>454609</v>
      </c>
      <c r="EZ325" s="21"/>
      <c r="FA325" s="21"/>
      <c r="FB325" s="21"/>
      <c r="FC325" s="21"/>
      <c r="FD325" s="21"/>
      <c r="FE325" s="21"/>
      <c r="FF325" s="21"/>
      <c r="FG325" s="168">
        <v>47718</v>
      </c>
      <c r="FH325" s="21"/>
      <c r="FI325" s="168">
        <v>6383</v>
      </c>
      <c r="FJ325" s="168">
        <v>-13351</v>
      </c>
      <c r="FK325" s="21"/>
      <c r="FL325" s="21"/>
      <c r="FM325" s="168">
        <v>4620</v>
      </c>
      <c r="FN325" s="168">
        <v>5956</v>
      </c>
      <c r="FO325" s="168">
        <v>32683</v>
      </c>
      <c r="FP325" s="168">
        <v>55408</v>
      </c>
      <c r="FQ325" s="21"/>
      <c r="FR325" s="21"/>
      <c r="FS325" s="168">
        <v>331</v>
      </c>
      <c r="FT325" s="168">
        <v>2917</v>
      </c>
      <c r="FU325" s="168">
        <v>-121201</v>
      </c>
      <c r="FV325" s="168">
        <v>-7891</v>
      </c>
      <c r="FW325" s="168">
        <v>484948</v>
      </c>
      <c r="FX325" s="168">
        <v>173135</v>
      </c>
      <c r="FY325" s="168">
        <v>106</v>
      </c>
      <c r="FZ325" s="168">
        <v>41</v>
      </c>
      <c r="GA325" s="21"/>
      <c r="GB325" s="21"/>
      <c r="GC325" s="168">
        <v>6923</v>
      </c>
      <c r="GD325" s="168">
        <v>569</v>
      </c>
      <c r="GE325" s="168">
        <v>7094</v>
      </c>
      <c r="GF325" s="168">
        <v>50361</v>
      </c>
      <c r="GG325" s="21"/>
      <c r="GH325" s="21"/>
      <c r="GI325" s="21"/>
      <c r="GJ325" s="21"/>
      <c r="GK325" s="168">
        <v>30000</v>
      </c>
      <c r="GL325" s="21"/>
      <c r="GM325" s="168">
        <v>1031051</v>
      </c>
      <c r="GN325" s="168">
        <v>403698</v>
      </c>
      <c r="GO325" s="168">
        <v>1049457</v>
      </c>
      <c r="GP325" s="168">
        <v>417407</v>
      </c>
      <c r="GQ325" s="21"/>
      <c r="GR325" s="21"/>
      <c r="GS325" s="168">
        <v>1031051</v>
      </c>
      <c r="GT325" s="168">
        <v>403698</v>
      </c>
      <c r="GU325" s="168">
        <v>37634</v>
      </c>
      <c r="GV325" s="168">
        <v>64281</v>
      </c>
      <c r="GW325" s="168">
        <v>44017</v>
      </c>
      <c r="GX325" s="168">
        <v>50930</v>
      </c>
      <c r="GY325" s="168">
        <v>43945548</v>
      </c>
      <c r="GZ325" s="168">
        <v>39217496</v>
      </c>
      <c r="HA325" s="168">
        <v>207786</v>
      </c>
      <c r="HB325" s="168">
        <v>185604</v>
      </c>
      <c r="HC325" s="168">
        <v>2501055</v>
      </c>
      <c r="HD325" s="168">
        <v>2269442</v>
      </c>
      <c r="HE325" s="168">
        <v>3690</v>
      </c>
      <c r="HF325" s="168">
        <v>2602</v>
      </c>
      <c r="HG325" s="168">
        <v>19568</v>
      </c>
      <c r="HH325" s="168">
        <v>22858</v>
      </c>
      <c r="HI325" s="168">
        <v>1924</v>
      </c>
      <c r="HJ325" s="168">
        <v>281</v>
      </c>
      <c r="HK325" s="21"/>
      <c r="HL325" s="21"/>
      <c r="HM325" s="21"/>
      <c r="HN325" s="21"/>
      <c r="HO325" s="168">
        <v>1557607</v>
      </c>
      <c r="HP325" s="168">
        <v>1414110</v>
      </c>
      <c r="HQ325" s="21"/>
      <c r="HR325" s="21"/>
      <c r="HS325" s="21"/>
      <c r="HT325" s="21"/>
      <c r="HU325" s="168">
        <v>656465</v>
      </c>
      <c r="HV325" s="168">
        <v>633153</v>
      </c>
      <c r="HW325" s="21"/>
      <c r="HX325" s="21"/>
      <c r="HY325" s="168">
        <v>4277</v>
      </c>
      <c r="HZ325" s="21"/>
      <c r="IA325" s="168">
        <v>5613250</v>
      </c>
      <c r="IB325" s="168">
        <v>3862888</v>
      </c>
      <c r="IC325" s="21"/>
      <c r="ID325" s="21"/>
      <c r="IE325" s="168">
        <v>409915</v>
      </c>
      <c r="IF325" s="168">
        <v>378912</v>
      </c>
      <c r="IG325" s="168">
        <v>116357</v>
      </c>
      <c r="IH325" s="168">
        <v>108784</v>
      </c>
      <c r="II325" s="21"/>
      <c r="IJ325" s="21"/>
      <c r="IK325" s="21"/>
      <c r="IL325" s="21"/>
      <c r="IM325" s="168">
        <v>1971</v>
      </c>
      <c r="IN325" s="168">
        <v>7229</v>
      </c>
      <c r="IO325" s="21"/>
      <c r="IP325" s="21"/>
      <c r="IQ325" s="168">
        <v>6909</v>
      </c>
      <c r="IR325" s="168">
        <v>4261</v>
      </c>
      <c r="IS325" s="21"/>
      <c r="IT325" s="21"/>
      <c r="IU325" s="168">
        <v>1406821</v>
      </c>
      <c r="IV325" s="168">
        <v>596002</v>
      </c>
      <c r="IW325" s="168">
        <v>1496700</v>
      </c>
      <c r="IX325" s="168">
        <v>677666</v>
      </c>
      <c r="IY325" s="168">
        <v>-89879</v>
      </c>
      <c r="IZ325" s="168">
        <v>-81664</v>
      </c>
      <c r="JA325" s="168">
        <v>4396449</v>
      </c>
      <c r="JB325" s="168">
        <v>3449442</v>
      </c>
      <c r="JC325" s="21"/>
      <c r="JD325" s="21"/>
      <c r="JE325" s="168">
        <v>4718331</v>
      </c>
      <c r="JF325" s="168">
        <v>4205479</v>
      </c>
      <c r="JG325" s="21"/>
      <c r="JH325" s="21"/>
      <c r="JI325" s="168">
        <v>57791234</v>
      </c>
      <c r="JJ325" s="168">
        <v>47565725</v>
      </c>
      <c r="JK325" s="168">
        <v>116356</v>
      </c>
      <c r="JL325" s="168">
        <v>108784</v>
      </c>
      <c r="JM325" s="168">
        <v>4400344</v>
      </c>
      <c r="JN325" s="168">
        <v>3456952</v>
      </c>
      <c r="JO325" s="168">
        <v>26477</v>
      </c>
      <c r="JP325" s="168">
        <v>27120</v>
      </c>
      <c r="JQ325" s="168">
        <v>-1823706</v>
      </c>
      <c r="JR325" s="168">
        <v>-4602775</v>
      </c>
      <c r="JS325" s="168">
        <v>-2984</v>
      </c>
      <c r="JT325" s="168">
        <v>-1186</v>
      </c>
      <c r="JU325" s="21"/>
      <c r="JV325" s="21"/>
      <c r="JW325" s="168">
        <v>54887590</v>
      </c>
      <c r="JX325" s="168">
        <v>44786439</v>
      </c>
      <c r="JY325" s="21"/>
      <c r="JZ325" s="21"/>
      <c r="KA325" s="168">
        <v>2715956</v>
      </c>
      <c r="KB325" s="168">
        <v>2362016</v>
      </c>
      <c r="KC325" s="21"/>
      <c r="KD325" s="21"/>
      <c r="KE325" s="168">
        <v>666325</v>
      </c>
      <c r="KF325" s="168">
        <v>294717</v>
      </c>
      <c r="KG325" s="21"/>
      <c r="KH325" s="21"/>
      <c r="KI325" s="168">
        <v>51505309</v>
      </c>
      <c r="KJ325" s="168">
        <v>42129706</v>
      </c>
      <c r="KK325" s="21"/>
      <c r="KL325" s="21"/>
      <c r="KM325" s="21"/>
      <c r="KN325" s="21"/>
      <c r="KO325" s="21"/>
      <c r="KP325" s="21"/>
      <c r="KQ325" s="168">
        <v>213820</v>
      </c>
      <c r="KR325" s="168">
        <v>271330</v>
      </c>
      <c r="KS325" s="21"/>
      <c r="KT325" s="21"/>
      <c r="KU325" s="168">
        <v>10445387</v>
      </c>
      <c r="KV325" s="168">
        <v>10035530</v>
      </c>
      <c r="KW325" s="21"/>
      <c r="KX325" s="21"/>
      <c r="KY325" s="168">
        <v>449290</v>
      </c>
      <c r="KZ325" s="168">
        <v>779503</v>
      </c>
      <c r="LA325" s="168">
        <v>241200</v>
      </c>
      <c r="LB325" s="168">
        <v>241200</v>
      </c>
      <c r="LC325" s="21"/>
      <c r="LD325" s="21"/>
      <c r="LE325" s="21"/>
      <c r="LF325" s="21"/>
      <c r="LG325" s="21"/>
      <c r="LH325" s="21"/>
      <c r="LI325" s="168">
        <v>2334711</v>
      </c>
      <c r="LJ325" s="168">
        <v>1788899</v>
      </c>
      <c r="LK325" s="168">
        <v>7233438</v>
      </c>
      <c r="LL325" s="168">
        <v>7184785</v>
      </c>
      <c r="LM325" s="168">
        <v>2518</v>
      </c>
      <c r="LN325" s="168">
        <v>4961</v>
      </c>
      <c r="LO325" s="21"/>
      <c r="LP325" s="21"/>
      <c r="LQ325" s="21"/>
      <c r="LR325" s="21"/>
      <c r="LS325" s="21"/>
      <c r="LT325" s="21"/>
      <c r="LU325" s="21"/>
      <c r="LV325" s="21"/>
      <c r="LW325" s="21"/>
      <c r="LX325" s="21"/>
      <c r="LY325" s="21"/>
      <c r="LZ325" s="21"/>
      <c r="MA325" s="168">
        <v>5123661</v>
      </c>
      <c r="MB325" s="168">
        <v>3593445</v>
      </c>
      <c r="MC325" s="21"/>
      <c r="MD325" s="21"/>
      <c r="ME325" s="21"/>
      <c r="MF325" s="21"/>
      <c r="MG325" s="168">
        <v>18150</v>
      </c>
      <c r="MH325" s="168">
        <v>24146</v>
      </c>
      <c r="MI325" s="21"/>
      <c r="MJ325" s="21"/>
      <c r="MK325" s="21"/>
      <c r="ML325" s="21"/>
      <c r="MM325" s="168">
        <v>23739</v>
      </c>
      <c r="MN325" s="168">
        <v>23775</v>
      </c>
      <c r="MO325" s="21"/>
      <c r="MP325" s="21"/>
      <c r="MQ325" s="168">
        <v>19523</v>
      </c>
      <c r="MR325" s="168">
        <v>30000</v>
      </c>
      <c r="MS325" s="21"/>
      <c r="MT325" s="21"/>
      <c r="MU325" s="21"/>
      <c r="MV325" s="21"/>
      <c r="MW325" s="168">
        <v>24120</v>
      </c>
      <c r="MX325" s="168">
        <v>24120</v>
      </c>
      <c r="MY325" s="21"/>
      <c r="MZ325" s="21"/>
      <c r="NA325" s="21"/>
      <c r="NB325" s="21"/>
      <c r="NC325" s="168">
        <v>1031051</v>
      </c>
      <c r="ND325" s="168">
        <v>403698</v>
      </c>
      <c r="NE325" s="21"/>
      <c r="NF325" s="21"/>
      <c r="NG325" s="168">
        <v>12159059</v>
      </c>
      <c r="NH325" s="168">
        <v>11142345</v>
      </c>
      <c r="NI325" s="21"/>
      <c r="NJ325" s="21"/>
      <c r="NK325" s="21"/>
      <c r="NL325" s="21"/>
      <c r="NM325" s="168">
        <v>15381177</v>
      </c>
      <c r="NN325" s="168">
        <v>13646698</v>
      </c>
      <c r="NO325" s="168">
        <v>28233647</v>
      </c>
      <c r="NP325" s="168">
        <v>24976991</v>
      </c>
      <c r="NQ325" s="168" t="s">
        <v>1484</v>
      </c>
      <c r="NR325" s="168" t="s">
        <v>1228</v>
      </c>
      <c r="NS325" s="168" t="s">
        <v>770</v>
      </c>
      <c r="NT325" s="168" t="s">
        <v>771</v>
      </c>
      <c r="NU325" s="168">
        <v>5301</v>
      </c>
      <c r="NV325" s="168" t="s">
        <v>2104</v>
      </c>
      <c r="NW325" s="168" t="s">
        <v>28</v>
      </c>
      <c r="NX325" s="168" t="s">
        <v>25</v>
      </c>
      <c r="NY325" s="169">
        <v>42766</v>
      </c>
      <c r="NZ325" s="169">
        <v>42400</v>
      </c>
      <c r="OA325" s="169">
        <v>42969</v>
      </c>
      <c r="OB325" s="168" t="s">
        <v>1485</v>
      </c>
      <c r="OC325" s="168">
        <v>12</v>
      </c>
      <c r="OD325" s="168" t="s">
        <v>2105</v>
      </c>
      <c r="OE325" s="168" t="s">
        <v>2478</v>
      </c>
      <c r="OF325" s="168" t="s">
        <v>2580</v>
      </c>
      <c r="OG325" s="168" t="s">
        <v>2046</v>
      </c>
      <c r="OH325" s="168" t="s">
        <v>793</v>
      </c>
      <c r="OI325" s="168" t="s">
        <v>766</v>
      </c>
      <c r="OJ325" s="168" t="s">
        <v>3240</v>
      </c>
      <c r="OK325" s="168" t="s">
        <v>1227</v>
      </c>
    </row>
    <row r="326" spans="1:401" x14ac:dyDescent="0.2">
      <c r="A326" s="170" t="str">
        <f>Liste[[#This Row],[Siren]]</f>
        <v>381080225</v>
      </c>
      <c r="B326" s="198" t="str">
        <f>Liste[[#This Row],[Dénomination]]&amp;" - comptes "&amp;YEAR(Liste[[#This Row],[Date de cloture de l''exercice]])</f>
        <v>ESI GROUP - comptes 2017</v>
      </c>
      <c r="C326" s="21"/>
      <c r="D326" s="21"/>
      <c r="E326" s="21"/>
      <c r="F326" s="168">
        <v>12273000</v>
      </c>
      <c r="G326" s="168">
        <v>12692000</v>
      </c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168">
        <v>4115000</v>
      </c>
      <c r="BA326" s="168">
        <v>3355000</v>
      </c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/>
      <c r="BT326" s="21"/>
      <c r="BU326" s="21"/>
      <c r="BV326" s="21"/>
      <c r="BW326" s="21"/>
      <c r="BX326" s="21"/>
      <c r="BY326" s="21"/>
      <c r="BZ326" s="21"/>
      <c r="CA326" s="21"/>
      <c r="CB326" s="21"/>
      <c r="CC326" s="21"/>
      <c r="CD326" s="21"/>
      <c r="CE326" s="168">
        <v>40810000</v>
      </c>
      <c r="CF326" s="168">
        <v>38508000</v>
      </c>
      <c r="CG326" s="21"/>
      <c r="CH326" s="21"/>
      <c r="CI326" s="21"/>
      <c r="CJ326" s="21"/>
      <c r="CK326" s="21"/>
      <c r="CL326" s="21"/>
      <c r="CM326" s="21"/>
      <c r="CN326" s="21"/>
      <c r="CO326" s="21"/>
      <c r="CP326" s="21"/>
      <c r="CQ326" s="21"/>
      <c r="CR326" s="21"/>
      <c r="CS326" s="21"/>
      <c r="CT326" s="21"/>
      <c r="CU326" s="21"/>
      <c r="CV326" s="21"/>
      <c r="CW326" s="21"/>
      <c r="CX326" s="21"/>
      <c r="CY326" s="21"/>
      <c r="CZ326" s="21"/>
      <c r="DA326" s="21"/>
      <c r="DB326" s="21"/>
      <c r="DC326" s="21"/>
      <c r="DD326" s="21"/>
      <c r="DE326" s="21"/>
      <c r="DF326" s="21"/>
      <c r="DG326" s="21"/>
      <c r="DH326" s="21"/>
      <c r="DI326" s="21"/>
      <c r="DJ326" s="21"/>
      <c r="DK326" s="21"/>
      <c r="DL326" s="21"/>
      <c r="DM326" s="21"/>
      <c r="DN326" s="21"/>
      <c r="DO326" s="21"/>
      <c r="DP326" s="21"/>
      <c r="DQ326" s="21"/>
      <c r="DR326" s="21"/>
      <c r="DS326" s="21"/>
      <c r="DT326" s="21"/>
      <c r="DU326" s="21"/>
      <c r="DV326" s="21"/>
      <c r="DW326" s="21"/>
      <c r="DX326" s="21"/>
      <c r="DY326" s="21"/>
      <c r="DZ326" s="21"/>
      <c r="EA326" s="21"/>
      <c r="EB326" s="21"/>
      <c r="EC326" s="21"/>
      <c r="ED326" s="21"/>
      <c r="EE326" s="21"/>
      <c r="EF326" s="21"/>
      <c r="EG326" s="21"/>
      <c r="EH326" s="21"/>
      <c r="EI326" s="21"/>
      <c r="EJ326" s="21"/>
      <c r="EK326" s="21"/>
      <c r="EL326" s="168">
        <v>122794000</v>
      </c>
      <c r="EM326" s="168">
        <v>112966000</v>
      </c>
      <c r="EN326" s="21"/>
      <c r="EO326" s="21"/>
      <c r="EP326" s="168">
        <v>104921000</v>
      </c>
      <c r="EQ326" s="168">
        <v>94049000</v>
      </c>
      <c r="ER326" s="21"/>
      <c r="ES326" s="21"/>
      <c r="ET326" s="168">
        <v>227715000</v>
      </c>
      <c r="EU326" s="168">
        <v>207015000</v>
      </c>
      <c r="EV326" s="21"/>
      <c r="EW326" s="21"/>
      <c r="EX326" s="21"/>
      <c r="EY326" s="21"/>
      <c r="EZ326" s="21"/>
      <c r="FA326" s="21"/>
      <c r="FB326" s="21"/>
      <c r="FC326" s="21"/>
      <c r="FD326" s="21"/>
      <c r="FE326" s="21"/>
      <c r="FF326" s="21"/>
      <c r="FG326" s="21"/>
      <c r="FH326" s="21"/>
      <c r="FI326" s="21"/>
      <c r="FJ326" s="21"/>
      <c r="FK326" s="21"/>
      <c r="FL326" s="21"/>
      <c r="FM326" s="21"/>
      <c r="FN326" s="21"/>
      <c r="FO326" s="21"/>
      <c r="FP326" s="21"/>
      <c r="FQ326" s="21"/>
      <c r="FR326" s="21"/>
      <c r="FS326" s="21"/>
      <c r="FT326" s="21"/>
      <c r="FU326" s="21"/>
      <c r="FV326" s="21"/>
      <c r="FW326" s="168">
        <v>-3992000</v>
      </c>
      <c r="FX326" s="168">
        <v>-3157000</v>
      </c>
      <c r="FY326" s="168">
        <v>180000</v>
      </c>
      <c r="FZ326" s="168">
        <v>40000</v>
      </c>
      <c r="GA326" s="21"/>
      <c r="GB326" s="21"/>
      <c r="GC326" s="21"/>
      <c r="GD326" s="21"/>
      <c r="GE326" s="21"/>
      <c r="GF326" s="21"/>
      <c r="GG326" s="21"/>
      <c r="GH326" s="21"/>
      <c r="GI326" s="21"/>
      <c r="GJ326" s="21"/>
      <c r="GK326" s="21"/>
      <c r="GL326" s="21"/>
      <c r="GM326" s="168">
        <v>7703000</v>
      </c>
      <c r="GN326" s="168">
        <v>5370000</v>
      </c>
      <c r="GO326" s="21"/>
      <c r="GP326" s="21"/>
      <c r="GQ326" s="21"/>
      <c r="GR326" s="21"/>
      <c r="GS326" s="168">
        <v>7523000</v>
      </c>
      <c r="GT326" s="168">
        <v>5330000</v>
      </c>
      <c r="GU326" s="21"/>
      <c r="GV326" s="21"/>
      <c r="GW326" s="21"/>
      <c r="GX326" s="21"/>
      <c r="GY326" s="21"/>
      <c r="GZ326" s="21"/>
      <c r="HA326" s="21"/>
      <c r="HB326" s="21"/>
      <c r="HC326" s="21"/>
      <c r="HD326" s="21"/>
      <c r="HE326" s="21"/>
      <c r="HF326" s="21"/>
      <c r="HG326" s="21"/>
      <c r="HH326" s="21"/>
      <c r="HI326" s="21"/>
      <c r="HJ326" s="21"/>
      <c r="HK326" s="21"/>
      <c r="HL326" s="21"/>
      <c r="HM326" s="21"/>
      <c r="HN326" s="21"/>
      <c r="HO326" s="21"/>
      <c r="HP326" s="21"/>
      <c r="HQ326" s="21"/>
      <c r="HR326" s="21"/>
      <c r="HS326" s="21"/>
      <c r="HT326" s="21"/>
      <c r="HU326" s="21"/>
      <c r="HV326" s="21"/>
      <c r="HW326" s="21"/>
      <c r="HX326" s="21"/>
      <c r="HY326" s="21"/>
      <c r="HZ326" s="21"/>
      <c r="IA326" s="21"/>
      <c r="IB326" s="21"/>
      <c r="IC326" s="21"/>
      <c r="ID326" s="21"/>
      <c r="IE326" s="21"/>
      <c r="IF326" s="21"/>
      <c r="IG326" s="21"/>
      <c r="IH326" s="21"/>
      <c r="II326" s="21"/>
      <c r="IJ326" s="21"/>
      <c r="IK326" s="21"/>
      <c r="IL326" s="21"/>
      <c r="IM326" s="21"/>
      <c r="IN326" s="21"/>
      <c r="IO326" s="21"/>
      <c r="IP326" s="21"/>
      <c r="IQ326" s="21"/>
      <c r="IR326" s="21"/>
      <c r="IS326" s="21"/>
      <c r="IT326" s="21"/>
      <c r="IU326" s="168">
        <v>11695000</v>
      </c>
      <c r="IV326" s="168">
        <v>8527000</v>
      </c>
      <c r="IW326" s="21"/>
      <c r="IX326" s="21"/>
      <c r="IY326" s="168">
        <v>-2115000</v>
      </c>
      <c r="IZ326" s="168">
        <v>-950000</v>
      </c>
      <c r="JA326" s="21"/>
      <c r="JB326" s="21"/>
      <c r="JC326" s="21"/>
      <c r="JD326" s="21"/>
      <c r="JE326" s="21"/>
      <c r="JF326" s="21"/>
      <c r="JG326" s="21"/>
      <c r="JH326" s="21"/>
      <c r="JI326" s="21"/>
      <c r="JJ326" s="21"/>
      <c r="JK326" s="21"/>
      <c r="JL326" s="21"/>
      <c r="JM326" s="21"/>
      <c r="JN326" s="21"/>
      <c r="JO326" s="21"/>
      <c r="JP326" s="21"/>
      <c r="JQ326" s="21"/>
      <c r="JR326" s="21"/>
      <c r="JS326" s="21"/>
      <c r="JT326" s="21"/>
      <c r="JU326" s="21"/>
      <c r="JV326" s="21"/>
      <c r="JW326" s="168">
        <v>140551000</v>
      </c>
      <c r="JX326" s="168">
        <v>124718000</v>
      </c>
      <c r="JY326" s="21"/>
      <c r="JZ326" s="21"/>
      <c r="KA326" s="21"/>
      <c r="KB326" s="21"/>
      <c r="KC326" s="21"/>
      <c r="KD326" s="21"/>
      <c r="KE326" s="21"/>
      <c r="KF326" s="21"/>
      <c r="KG326" s="21"/>
      <c r="KH326" s="21"/>
      <c r="KI326" s="21"/>
      <c r="KJ326" s="21"/>
      <c r="KK326" s="21"/>
      <c r="KL326" s="21"/>
      <c r="KM326" s="21"/>
      <c r="KN326" s="21"/>
      <c r="KO326" s="21"/>
      <c r="KP326" s="21"/>
      <c r="KQ326" s="21"/>
      <c r="KR326" s="21"/>
      <c r="KS326" s="21"/>
      <c r="KT326" s="21"/>
      <c r="KU326" s="21"/>
      <c r="KV326" s="21"/>
      <c r="KW326" s="21"/>
      <c r="KX326" s="21"/>
      <c r="KY326" s="21"/>
      <c r="KZ326" s="21"/>
      <c r="LA326" s="168">
        <v>17976000</v>
      </c>
      <c r="LB326" s="168">
        <v>17865000</v>
      </c>
      <c r="LC326" s="21"/>
      <c r="LD326" s="21"/>
      <c r="LE326" s="21"/>
      <c r="LF326" s="21"/>
      <c r="LG326" s="21"/>
      <c r="LH326" s="21"/>
      <c r="LI326" s="168">
        <v>29329000</v>
      </c>
      <c r="LJ326" s="168">
        <v>26593000</v>
      </c>
      <c r="LK326" s="168">
        <v>10895000</v>
      </c>
      <c r="LL326" s="168">
        <v>8073000</v>
      </c>
      <c r="LM326" s="21"/>
      <c r="LN326" s="21"/>
      <c r="LO326" s="21"/>
      <c r="LP326" s="21"/>
      <c r="LQ326" s="21"/>
      <c r="LR326" s="21"/>
      <c r="LS326" s="21"/>
      <c r="LT326" s="21"/>
      <c r="LU326" s="168">
        <v>1843000</v>
      </c>
      <c r="LV326" s="168">
        <v>1827000</v>
      </c>
      <c r="LW326" s="21"/>
      <c r="LX326" s="21"/>
      <c r="LY326" s="21"/>
      <c r="LZ326" s="21"/>
      <c r="MA326" s="21"/>
      <c r="MB326" s="21"/>
      <c r="MC326" s="21"/>
      <c r="MD326" s="21"/>
      <c r="ME326" s="21"/>
      <c r="MF326" s="21"/>
      <c r="MG326" s="168">
        <v>2963000</v>
      </c>
      <c r="MH326" s="168">
        <v>3281000</v>
      </c>
      <c r="MI326" s="168">
        <v>75215000</v>
      </c>
      <c r="MJ326" s="168">
        <v>24938000</v>
      </c>
      <c r="MK326" s="21"/>
      <c r="ML326" s="21"/>
      <c r="MM326" s="168">
        <v>22389000</v>
      </c>
      <c r="MN326" s="168">
        <v>21064000</v>
      </c>
      <c r="MO326" s="21"/>
      <c r="MP326" s="21"/>
      <c r="MQ326" s="21"/>
      <c r="MR326" s="21"/>
      <c r="MS326" s="21"/>
      <c r="MT326" s="21"/>
      <c r="MU326" s="21"/>
      <c r="MV326" s="21"/>
      <c r="MW326" s="21"/>
      <c r="MX326" s="21"/>
      <c r="MY326" s="21"/>
      <c r="MZ326" s="21"/>
      <c r="NA326" s="21"/>
      <c r="NB326" s="21"/>
      <c r="NC326" s="168">
        <v>7523000</v>
      </c>
      <c r="ND326" s="168">
        <v>5330000</v>
      </c>
      <c r="NE326" s="21"/>
      <c r="NF326" s="21"/>
      <c r="NG326" s="168">
        <v>98475000</v>
      </c>
      <c r="NH326" s="168">
        <v>90842000</v>
      </c>
      <c r="NI326" s="21"/>
      <c r="NJ326" s="21"/>
      <c r="NK326" s="21"/>
      <c r="NL326" s="21"/>
      <c r="NM326" s="21"/>
      <c r="NN326" s="21"/>
      <c r="NO326" s="168">
        <v>227715000</v>
      </c>
      <c r="NP326" s="168">
        <v>207015000</v>
      </c>
      <c r="NQ326" s="168" t="s">
        <v>895</v>
      </c>
      <c r="NR326" s="168" t="s">
        <v>979</v>
      </c>
      <c r="NS326" s="168" t="s">
        <v>770</v>
      </c>
      <c r="NT326" s="168" t="s">
        <v>771</v>
      </c>
      <c r="NU326" s="168">
        <v>7501</v>
      </c>
      <c r="NV326" s="168" t="s">
        <v>2104</v>
      </c>
      <c r="NW326" s="168" t="s">
        <v>28</v>
      </c>
      <c r="NX326" s="168" t="s">
        <v>25</v>
      </c>
      <c r="NY326" s="169">
        <v>42766</v>
      </c>
      <c r="NZ326" s="169">
        <v>42400</v>
      </c>
      <c r="OA326" s="169">
        <v>42998</v>
      </c>
      <c r="OB326" s="168" t="s">
        <v>1488</v>
      </c>
      <c r="OC326" s="168">
        <v>12</v>
      </c>
      <c r="OD326" s="168" t="s">
        <v>2105</v>
      </c>
      <c r="OE326" s="168" t="s">
        <v>2385</v>
      </c>
      <c r="OF326" s="168" t="s">
        <v>2585</v>
      </c>
      <c r="OG326" s="168" t="s">
        <v>2049</v>
      </c>
      <c r="OH326" s="168" t="s">
        <v>765</v>
      </c>
      <c r="OI326" s="168" t="s">
        <v>766</v>
      </c>
      <c r="OJ326" s="168" t="s">
        <v>3240</v>
      </c>
      <c r="OK326" s="168" t="s">
        <v>3375</v>
      </c>
    </row>
    <row r="327" spans="1:401" x14ac:dyDescent="0.2">
      <c r="A327" s="170" t="str">
        <f>Liste[[#This Row],[Siren]]</f>
        <v>399398171</v>
      </c>
      <c r="B327" s="198" t="str">
        <f>Liste[[#This Row],[Dénomination]]&amp;" - comptes "&amp;YEAR(Liste[[#This Row],[Date de cloture de l''exercice]])</f>
        <v>SOLOMAR - comptes 2017</v>
      </c>
      <c r="C327" s="21"/>
      <c r="D327" s="21"/>
      <c r="E327" s="168">
        <v>35093</v>
      </c>
      <c r="F327" s="168">
        <v>3846470</v>
      </c>
      <c r="G327" s="168">
        <v>3317398</v>
      </c>
      <c r="H327" s="168">
        <v>3881563</v>
      </c>
      <c r="I327" s="21"/>
      <c r="J327" s="21"/>
      <c r="K327" s="21"/>
      <c r="L327" s="21"/>
      <c r="M327" s="21"/>
      <c r="N327" s="168">
        <v>78600</v>
      </c>
      <c r="O327" s="168">
        <v>95536</v>
      </c>
      <c r="P327" s="168">
        <v>78600</v>
      </c>
      <c r="Q327" s="21"/>
      <c r="R327" s="21"/>
      <c r="S327" s="21"/>
      <c r="T327" s="21"/>
      <c r="U327" s="168">
        <v>609</v>
      </c>
      <c r="V327" s="168">
        <v>4811</v>
      </c>
      <c r="W327" s="168">
        <v>6811</v>
      </c>
      <c r="X327" s="168">
        <v>5421</v>
      </c>
      <c r="Y327" s="168">
        <v>3993750</v>
      </c>
      <c r="Z327" s="168">
        <v>2279502</v>
      </c>
      <c r="AA327" s="168">
        <v>2232535</v>
      </c>
      <c r="AB327" s="168">
        <v>6273252</v>
      </c>
      <c r="AC327" s="21"/>
      <c r="AD327" s="168">
        <v>263418</v>
      </c>
      <c r="AE327" s="168">
        <v>263418</v>
      </c>
      <c r="AF327" s="168">
        <v>263418</v>
      </c>
      <c r="AG327" s="21"/>
      <c r="AH327" s="21"/>
      <c r="AI327" s="21"/>
      <c r="AJ327" s="21"/>
      <c r="AK327" s="21"/>
      <c r="AL327" s="168">
        <v>39868</v>
      </c>
      <c r="AM327" s="168">
        <v>3600</v>
      </c>
      <c r="AN327" s="168">
        <v>39868</v>
      </c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168">
        <v>314277</v>
      </c>
      <c r="BA327" s="168">
        <v>304195</v>
      </c>
      <c r="BB327" s="168">
        <v>314277</v>
      </c>
      <c r="BC327" s="168">
        <v>49560</v>
      </c>
      <c r="BD327" s="168">
        <v>528106</v>
      </c>
      <c r="BE327" s="168">
        <v>570671</v>
      </c>
      <c r="BF327" s="168">
        <v>577667</v>
      </c>
      <c r="BG327" s="168">
        <v>103431</v>
      </c>
      <c r="BH327" s="168">
        <v>8216</v>
      </c>
      <c r="BI327" s="168">
        <v>8220</v>
      </c>
      <c r="BJ327" s="168">
        <v>111647</v>
      </c>
      <c r="BK327" s="168">
        <v>16419463</v>
      </c>
      <c r="BL327" s="168">
        <v>14773662</v>
      </c>
      <c r="BM327" s="168">
        <v>16142952</v>
      </c>
      <c r="BN327" s="168">
        <v>31193126</v>
      </c>
      <c r="BO327" s="21"/>
      <c r="BP327" s="168">
        <v>250000</v>
      </c>
      <c r="BQ327" s="168">
        <v>352794</v>
      </c>
      <c r="BR327" s="168">
        <v>250000</v>
      </c>
      <c r="BS327" s="21"/>
      <c r="BT327" s="21"/>
      <c r="BU327" s="21"/>
      <c r="BV327" s="21"/>
      <c r="BW327" s="21"/>
      <c r="BX327" s="168">
        <v>1616598</v>
      </c>
      <c r="BY327" s="168">
        <v>2093251</v>
      </c>
      <c r="BZ327" s="168">
        <v>1616598</v>
      </c>
      <c r="CA327" s="21"/>
      <c r="CB327" s="21"/>
      <c r="CC327" s="21"/>
      <c r="CD327" s="168">
        <v>2057031</v>
      </c>
      <c r="CE327" s="21"/>
      <c r="CF327" s="21"/>
      <c r="CG327" s="168">
        <v>2057031</v>
      </c>
      <c r="CH327" s="21"/>
      <c r="CI327" s="21"/>
      <c r="CJ327" s="21"/>
      <c r="CK327" s="21"/>
      <c r="CL327" s="21"/>
      <c r="CM327" s="21"/>
      <c r="CN327" s="21"/>
      <c r="CO327" s="21"/>
      <c r="CP327" s="168">
        <v>33426</v>
      </c>
      <c r="CQ327" s="168">
        <v>289514</v>
      </c>
      <c r="CR327" s="168">
        <v>293228</v>
      </c>
      <c r="CS327" s="168">
        <v>322940</v>
      </c>
      <c r="CT327" s="21"/>
      <c r="CU327" s="21"/>
      <c r="CV327" s="21"/>
      <c r="CW327" s="21"/>
      <c r="CX327" s="21"/>
      <c r="CY327" s="21"/>
      <c r="CZ327" s="21"/>
      <c r="DA327" s="21"/>
      <c r="DB327" s="21"/>
      <c r="DC327" s="21"/>
      <c r="DD327" s="21"/>
      <c r="DE327" s="21"/>
      <c r="DF327" s="168">
        <v>6072122</v>
      </c>
      <c r="DG327" s="168">
        <v>3383898</v>
      </c>
      <c r="DH327" s="168">
        <v>3701221</v>
      </c>
      <c r="DI327" s="168">
        <v>9456021</v>
      </c>
      <c r="DJ327" s="21"/>
      <c r="DK327" s="168">
        <v>8876675</v>
      </c>
      <c r="DL327" s="168">
        <v>8476752</v>
      </c>
      <c r="DM327" s="168">
        <v>8876675</v>
      </c>
      <c r="DN327" s="21"/>
      <c r="DO327" s="168">
        <v>75791</v>
      </c>
      <c r="DP327" s="168">
        <v>75412</v>
      </c>
      <c r="DQ327" s="168">
        <v>75791</v>
      </c>
      <c r="DR327" s="21"/>
      <c r="DS327" s="21"/>
      <c r="DT327" s="21"/>
      <c r="DU327" s="21"/>
      <c r="DV327" s="21"/>
      <c r="DW327" s="168">
        <v>620698</v>
      </c>
      <c r="DX327" s="168">
        <v>606404</v>
      </c>
      <c r="DY327" s="168">
        <v>620698</v>
      </c>
      <c r="DZ327" s="21"/>
      <c r="EA327" s="21"/>
      <c r="EB327" s="21"/>
      <c r="EC327" s="21"/>
      <c r="ED327" s="21"/>
      <c r="EE327" s="21"/>
      <c r="EF327" s="21"/>
      <c r="EG327" s="21"/>
      <c r="EH327" s="21"/>
      <c r="EI327" s="21"/>
      <c r="EJ327" s="21"/>
      <c r="EK327" s="168">
        <v>31143211</v>
      </c>
      <c r="EL327" s="168">
        <v>28711008</v>
      </c>
      <c r="EM327" s="168">
        <v>28822918</v>
      </c>
      <c r="EN327" s="168">
        <v>59854219</v>
      </c>
      <c r="EO327" s="168">
        <v>84653</v>
      </c>
      <c r="EP327" s="168">
        <v>16841326</v>
      </c>
      <c r="EQ327" s="168">
        <v>17384332</v>
      </c>
      <c r="ER327" s="168">
        <v>16925980</v>
      </c>
      <c r="ES327" s="168">
        <v>31227865</v>
      </c>
      <c r="ET327" s="168">
        <v>45552334</v>
      </c>
      <c r="EU327" s="168">
        <v>46207250</v>
      </c>
      <c r="EV327" s="168">
        <v>76780199</v>
      </c>
      <c r="EW327" s="168">
        <v>1366978</v>
      </c>
      <c r="EX327" s="168">
        <v>4879953</v>
      </c>
      <c r="EY327" s="168">
        <v>4737059</v>
      </c>
      <c r="EZ327" s="168">
        <v>6246932</v>
      </c>
      <c r="FA327" s="21"/>
      <c r="FB327" s="21"/>
      <c r="FC327" s="21"/>
      <c r="FD327" s="21"/>
      <c r="FE327" s="21"/>
      <c r="FF327" s="168">
        <v>311162</v>
      </c>
      <c r="FG327" s="21"/>
      <c r="FH327" s="168">
        <v>311162</v>
      </c>
      <c r="FI327" s="168">
        <v>224228</v>
      </c>
      <c r="FJ327" s="168">
        <v>-199588</v>
      </c>
      <c r="FK327" s="21"/>
      <c r="FL327" s="21"/>
      <c r="FM327" s="168">
        <v>154848</v>
      </c>
      <c r="FN327" s="168">
        <v>115233</v>
      </c>
      <c r="FO327" s="168">
        <v>11212</v>
      </c>
      <c r="FP327" s="168">
        <v>834</v>
      </c>
      <c r="FQ327" s="21"/>
      <c r="FR327" s="21"/>
      <c r="FS327" s="168">
        <v>26106</v>
      </c>
      <c r="FT327" s="168">
        <v>190756</v>
      </c>
      <c r="FU327" s="168">
        <v>-157849</v>
      </c>
      <c r="FV327" s="168">
        <v>-89460</v>
      </c>
      <c r="FW327" s="168">
        <v>1492562</v>
      </c>
      <c r="FX327" s="168">
        <v>827312</v>
      </c>
      <c r="FY327" s="168">
        <v>124994</v>
      </c>
      <c r="FZ327" s="168">
        <v>72942</v>
      </c>
      <c r="GA327" s="21"/>
      <c r="GB327" s="21"/>
      <c r="GC327" s="168">
        <v>200927</v>
      </c>
      <c r="GD327" s="168">
        <v>1710</v>
      </c>
      <c r="GE327" s="168">
        <v>62967</v>
      </c>
      <c r="GF327" s="168">
        <v>3870</v>
      </c>
      <c r="GG327" s="21"/>
      <c r="GH327" s="21"/>
      <c r="GI327" s="21"/>
      <c r="GJ327" s="21"/>
      <c r="GK327" s="168">
        <v>152500</v>
      </c>
      <c r="GL327" s="168">
        <v>100000</v>
      </c>
      <c r="GM327" s="168">
        <v>3303728</v>
      </c>
      <c r="GN327" s="168">
        <v>2077766</v>
      </c>
      <c r="GO327" s="168">
        <v>3303728</v>
      </c>
      <c r="GP327" s="168">
        <v>2077766</v>
      </c>
      <c r="GQ327" s="21"/>
      <c r="GR327" s="21"/>
      <c r="GS327" s="168">
        <v>3178733</v>
      </c>
      <c r="GT327" s="168">
        <v>2004823</v>
      </c>
      <c r="GU327" s="168">
        <v>192166</v>
      </c>
      <c r="GV327" s="168">
        <v>305168</v>
      </c>
      <c r="GW327" s="168">
        <v>416395</v>
      </c>
      <c r="GX327" s="168">
        <v>105580</v>
      </c>
      <c r="GY327" s="168">
        <v>82356830</v>
      </c>
      <c r="GZ327" s="168">
        <v>80373534</v>
      </c>
      <c r="HA327" s="168">
        <v>404918</v>
      </c>
      <c r="HB327" s="168">
        <v>445520</v>
      </c>
      <c r="HC327" s="168">
        <v>8033157</v>
      </c>
      <c r="HD327" s="168">
        <v>8048027</v>
      </c>
      <c r="HE327" s="168">
        <v>247905</v>
      </c>
      <c r="HF327" s="168">
        <v>83478</v>
      </c>
      <c r="HG327" s="168">
        <v>15726</v>
      </c>
      <c r="HH327" s="168">
        <v>14748</v>
      </c>
      <c r="HI327" s="168">
        <v>491756</v>
      </c>
      <c r="HJ327" s="168">
        <v>484316</v>
      </c>
      <c r="HK327" s="21"/>
      <c r="HL327" s="21"/>
      <c r="HM327" s="21"/>
      <c r="HN327" s="21"/>
      <c r="HO327" s="168">
        <v>3206348</v>
      </c>
      <c r="HP327" s="168">
        <v>3060772</v>
      </c>
      <c r="HQ327" s="168">
        <v>5509</v>
      </c>
      <c r="HR327" s="21"/>
      <c r="HS327" s="168">
        <v>36792</v>
      </c>
      <c r="HT327" s="21"/>
      <c r="HU327" s="168">
        <v>2377109</v>
      </c>
      <c r="HV327" s="168">
        <v>2163264</v>
      </c>
      <c r="HW327" s="21"/>
      <c r="HX327" s="21"/>
      <c r="HY327" s="168">
        <v>54700</v>
      </c>
      <c r="HZ327" s="168">
        <v>120500</v>
      </c>
      <c r="IA327" s="168">
        <v>51831</v>
      </c>
      <c r="IB327" s="168">
        <v>223545</v>
      </c>
      <c r="IC327" s="21"/>
      <c r="ID327" s="21"/>
      <c r="IE327" s="168">
        <v>1812244</v>
      </c>
      <c r="IF327" s="168">
        <v>1898210</v>
      </c>
      <c r="IG327" s="168">
        <v>444700</v>
      </c>
      <c r="IH327" s="168">
        <v>507861</v>
      </c>
      <c r="II327" s="21"/>
      <c r="IJ327" s="21"/>
      <c r="IK327" s="168">
        <v>4292</v>
      </c>
      <c r="IL327" s="168">
        <v>4016</v>
      </c>
      <c r="IM327" s="21"/>
      <c r="IN327" s="21"/>
      <c r="IO327" s="168">
        <v>-7168</v>
      </c>
      <c r="IP327" s="168">
        <v>12503</v>
      </c>
      <c r="IQ327" s="168">
        <v>79065</v>
      </c>
      <c r="IR327" s="168">
        <v>48394</v>
      </c>
      <c r="IS327" s="168">
        <v>1178</v>
      </c>
      <c r="IT327" s="168">
        <v>2457</v>
      </c>
      <c r="IU327" s="168">
        <v>4414212</v>
      </c>
      <c r="IV327" s="168">
        <v>3015206</v>
      </c>
      <c r="IW327" s="168">
        <v>4738829</v>
      </c>
      <c r="IX327" s="168">
        <v>3444963</v>
      </c>
      <c r="IY327" s="168">
        <v>-324616</v>
      </c>
      <c r="IZ327" s="168">
        <v>-429757</v>
      </c>
      <c r="JA327" s="168">
        <v>366674</v>
      </c>
      <c r="JB327" s="168">
        <v>155570</v>
      </c>
      <c r="JC327" s="21"/>
      <c r="JD327" s="21"/>
      <c r="JE327" s="168">
        <v>10393324</v>
      </c>
      <c r="JF327" s="168">
        <v>9969944</v>
      </c>
      <c r="JG327" s="168">
        <v>-1042</v>
      </c>
      <c r="JH327" s="168">
        <v>2042</v>
      </c>
      <c r="JI327" s="168">
        <v>108539216</v>
      </c>
      <c r="JJ327" s="168">
        <v>105978517</v>
      </c>
      <c r="JK327" s="168">
        <v>450210</v>
      </c>
      <c r="JL327" s="168">
        <v>507861</v>
      </c>
      <c r="JM327" s="168">
        <v>113278045</v>
      </c>
      <c r="JN327" s="168">
        <v>109423480</v>
      </c>
      <c r="JO327" s="168">
        <v>125594</v>
      </c>
      <c r="JP327" s="168">
        <v>78104</v>
      </c>
      <c r="JQ327" s="168">
        <v>-398775</v>
      </c>
      <c r="JR327" s="168">
        <v>-387576</v>
      </c>
      <c r="JS327" s="168">
        <v>-379</v>
      </c>
      <c r="JT327" s="168">
        <v>-20703</v>
      </c>
      <c r="JU327" s="21"/>
      <c r="JV327" s="21"/>
      <c r="JW327" s="168">
        <v>112416363</v>
      </c>
      <c r="JX327" s="168">
        <v>108777535</v>
      </c>
      <c r="JY327" s="21"/>
      <c r="JZ327" s="21"/>
      <c r="KA327" s="168">
        <v>127669</v>
      </c>
      <c r="KB327" s="168">
        <v>89842</v>
      </c>
      <c r="KC327" s="21"/>
      <c r="KD327" s="21"/>
      <c r="KE327" s="168">
        <v>3536286</v>
      </c>
      <c r="KF327" s="168">
        <v>3612145</v>
      </c>
      <c r="KG327" s="21"/>
      <c r="KH327" s="21"/>
      <c r="KI327" s="168">
        <v>108752407</v>
      </c>
      <c r="KJ327" s="168">
        <v>105075547</v>
      </c>
      <c r="KK327" s="21"/>
      <c r="KL327" s="21"/>
      <c r="KM327" s="21"/>
      <c r="KN327" s="21"/>
      <c r="KO327" s="21"/>
      <c r="KP327" s="21"/>
      <c r="KQ327" s="168">
        <v>557869</v>
      </c>
      <c r="KR327" s="168">
        <v>449923</v>
      </c>
      <c r="KS327" s="21"/>
      <c r="KT327" s="21"/>
      <c r="KU327" s="21"/>
      <c r="KV327" s="21"/>
      <c r="KW327" s="21"/>
      <c r="KX327" s="21"/>
      <c r="KY327" s="21"/>
      <c r="KZ327" s="21"/>
      <c r="LA327" s="168">
        <v>1500000</v>
      </c>
      <c r="LB327" s="168">
        <v>1500000</v>
      </c>
      <c r="LC327" s="21"/>
      <c r="LD327" s="21"/>
      <c r="LE327" s="21"/>
      <c r="LF327" s="21"/>
      <c r="LG327" s="21"/>
      <c r="LH327" s="21"/>
      <c r="LI327" s="168">
        <v>5796763</v>
      </c>
      <c r="LJ327" s="168">
        <v>5694277</v>
      </c>
      <c r="LK327" s="168">
        <v>7156594</v>
      </c>
      <c r="LL327" s="168">
        <v>8550475</v>
      </c>
      <c r="LM327" s="168">
        <v>325221</v>
      </c>
      <c r="LN327" s="168">
        <v>153616</v>
      </c>
      <c r="LO327" s="21"/>
      <c r="LP327" s="21"/>
      <c r="LQ327" s="21"/>
      <c r="LR327" s="21"/>
      <c r="LS327" s="21"/>
      <c r="LT327" s="21"/>
      <c r="LU327" s="21"/>
      <c r="LV327" s="21"/>
      <c r="LW327" s="21"/>
      <c r="LX327" s="21"/>
      <c r="LY327" s="21"/>
      <c r="LZ327" s="21"/>
      <c r="MA327" s="168">
        <v>13601875</v>
      </c>
      <c r="MB327" s="168">
        <v>15166189</v>
      </c>
      <c r="MC327" s="168">
        <v>2655189</v>
      </c>
      <c r="MD327" s="168">
        <v>2379808</v>
      </c>
      <c r="ME327" s="21"/>
      <c r="MF327" s="21"/>
      <c r="MG327" s="21"/>
      <c r="MH327" s="21"/>
      <c r="MI327" s="21"/>
      <c r="MJ327" s="21"/>
      <c r="MK327" s="21"/>
      <c r="ML327" s="21"/>
      <c r="MM327" s="168">
        <v>3724</v>
      </c>
      <c r="MN327" s="21"/>
      <c r="MO327" s="168">
        <v>843700</v>
      </c>
      <c r="MP327" s="168">
        <v>789000</v>
      </c>
      <c r="MQ327" s="168">
        <v>250000</v>
      </c>
      <c r="MR327" s="168">
        <v>374500</v>
      </c>
      <c r="MS327" s="21"/>
      <c r="MT327" s="21"/>
      <c r="MU327" s="21"/>
      <c r="MV327" s="21"/>
      <c r="MW327" s="21"/>
      <c r="MX327" s="21"/>
      <c r="MY327" s="21"/>
      <c r="MZ327" s="21"/>
      <c r="NA327" s="21"/>
      <c r="NB327" s="21"/>
      <c r="NC327" s="168">
        <v>3178733</v>
      </c>
      <c r="ND327" s="168">
        <v>2004823</v>
      </c>
      <c r="NE327" s="21"/>
      <c r="NF327" s="21"/>
      <c r="NG327" s="168">
        <v>13301203</v>
      </c>
      <c r="NH327" s="168">
        <v>11626069</v>
      </c>
      <c r="NI327" s="21"/>
      <c r="NJ327" s="21"/>
      <c r="NK327" s="21"/>
      <c r="NL327" s="21"/>
      <c r="NM327" s="168">
        <v>30513996</v>
      </c>
      <c r="NN327" s="168">
        <v>32814489</v>
      </c>
      <c r="NO327" s="168">
        <v>45552334</v>
      </c>
      <c r="NP327" s="168">
        <v>46207250</v>
      </c>
      <c r="NQ327" s="168" t="s">
        <v>1489</v>
      </c>
      <c r="NR327" s="168" t="s">
        <v>769</v>
      </c>
      <c r="NS327" s="168" t="s">
        <v>770</v>
      </c>
      <c r="NT327" s="168" t="s">
        <v>771</v>
      </c>
      <c r="NU327" s="168">
        <v>4402</v>
      </c>
      <c r="NV327" s="168" t="s">
        <v>2104</v>
      </c>
      <c r="NW327" s="168" t="s">
        <v>28</v>
      </c>
      <c r="NX327" s="168" t="s">
        <v>25</v>
      </c>
      <c r="NY327" s="169">
        <v>42766</v>
      </c>
      <c r="NZ327" s="169">
        <v>42400</v>
      </c>
      <c r="OA327" s="169">
        <v>43007</v>
      </c>
      <c r="OB327" s="168" t="s">
        <v>1490</v>
      </c>
      <c r="OC327" s="168">
        <v>12</v>
      </c>
      <c r="OD327" s="168" t="s">
        <v>2106</v>
      </c>
      <c r="OE327" s="168" t="s">
        <v>2538</v>
      </c>
      <c r="OF327" s="168" t="s">
        <v>2586</v>
      </c>
      <c r="OG327" s="168" t="s">
        <v>2050</v>
      </c>
      <c r="OH327" s="168" t="s">
        <v>1008</v>
      </c>
      <c r="OI327" s="168" t="s">
        <v>766</v>
      </c>
      <c r="OJ327" s="168" t="s">
        <v>3240</v>
      </c>
      <c r="OK327" s="168" t="s">
        <v>767</v>
      </c>
    </row>
    <row r="328" spans="1:401" x14ac:dyDescent="0.2">
      <c r="A328" s="170" t="str">
        <f>Liste[[#This Row],[Siren]]</f>
        <v>479813024</v>
      </c>
      <c r="B328" s="198" t="str">
        <f>Liste[[#This Row],[Dénomination]]&amp;" - comptes "&amp;YEAR(Liste[[#This Row],[Date de cloture de l''exercice]])</f>
        <v>SDM EXPANSION - comptes 2017</v>
      </c>
      <c r="C328" s="21"/>
      <c r="D328" s="21"/>
      <c r="E328" s="168">
        <v>9107</v>
      </c>
      <c r="F328" s="168">
        <v>1995118</v>
      </c>
      <c r="G328" s="168">
        <v>2225943</v>
      </c>
      <c r="H328" s="168">
        <v>2004225</v>
      </c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168">
        <v>943</v>
      </c>
      <c r="BD328" s="168">
        <v>72985</v>
      </c>
      <c r="BE328" s="168">
        <v>174467</v>
      </c>
      <c r="BF328" s="168">
        <v>73928</v>
      </c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  <c r="BS328" s="21"/>
      <c r="BT328" s="21"/>
      <c r="BU328" s="21"/>
      <c r="BV328" s="21"/>
      <c r="BW328" s="21"/>
      <c r="BX328" s="168">
        <v>13054657</v>
      </c>
      <c r="BY328" s="168">
        <v>5048223</v>
      </c>
      <c r="BZ328" s="168">
        <v>13054657</v>
      </c>
      <c r="CA328" s="21"/>
      <c r="CB328" s="21"/>
      <c r="CC328" s="21"/>
      <c r="CD328" s="168">
        <v>1966311</v>
      </c>
      <c r="CE328" s="21"/>
      <c r="CF328" s="21"/>
      <c r="CG328" s="168">
        <v>1966311</v>
      </c>
      <c r="CH328" s="21"/>
      <c r="CI328" s="21"/>
      <c r="CJ328" s="21"/>
      <c r="CK328" s="21"/>
      <c r="CL328" s="21"/>
      <c r="CM328" s="21"/>
      <c r="CN328" s="21"/>
      <c r="CO328" s="21"/>
      <c r="CP328" s="21"/>
      <c r="CQ328" s="21"/>
      <c r="CR328" s="21"/>
      <c r="CS328" s="21"/>
      <c r="CT328" s="21"/>
      <c r="CU328" s="21"/>
      <c r="CV328" s="21"/>
      <c r="CW328" s="21"/>
      <c r="CX328" s="21"/>
      <c r="CY328" s="21"/>
      <c r="CZ328" s="21"/>
      <c r="DA328" s="21"/>
      <c r="DB328" s="21"/>
      <c r="DC328" s="21"/>
      <c r="DD328" s="21"/>
      <c r="DE328" s="21"/>
      <c r="DF328" s="21"/>
      <c r="DG328" s="21"/>
      <c r="DH328" s="21"/>
      <c r="DI328" s="21"/>
      <c r="DJ328" s="21"/>
      <c r="DK328" s="21"/>
      <c r="DL328" s="21"/>
      <c r="DM328" s="21"/>
      <c r="DN328" s="21"/>
      <c r="DO328" s="21"/>
      <c r="DP328" s="21"/>
      <c r="DQ328" s="21"/>
      <c r="DR328" s="21"/>
      <c r="DS328" s="21"/>
      <c r="DT328" s="21"/>
      <c r="DU328" s="21"/>
      <c r="DV328" s="21"/>
      <c r="DW328" s="21"/>
      <c r="DX328" s="21"/>
      <c r="DY328" s="21"/>
      <c r="DZ328" s="21"/>
      <c r="EA328" s="21"/>
      <c r="EB328" s="21"/>
      <c r="EC328" s="21"/>
      <c r="ED328" s="21"/>
      <c r="EE328" s="21"/>
      <c r="EF328" s="21"/>
      <c r="EG328" s="21"/>
      <c r="EH328" s="21"/>
      <c r="EI328" s="21"/>
      <c r="EJ328" s="21"/>
      <c r="EK328" s="168">
        <v>22907432</v>
      </c>
      <c r="EL328" s="168">
        <v>21369459</v>
      </c>
      <c r="EM328" s="168">
        <v>22145467</v>
      </c>
      <c r="EN328" s="168">
        <v>44276891</v>
      </c>
      <c r="EO328" s="168">
        <v>710050</v>
      </c>
      <c r="EP328" s="168">
        <v>21936361</v>
      </c>
      <c r="EQ328" s="168">
        <v>15300043</v>
      </c>
      <c r="ER328" s="168">
        <v>22646411</v>
      </c>
      <c r="ES328" s="168">
        <v>23617482</v>
      </c>
      <c r="ET328" s="168">
        <v>43305820</v>
      </c>
      <c r="EU328" s="168">
        <v>37445510</v>
      </c>
      <c r="EV328" s="168">
        <v>66923302</v>
      </c>
      <c r="EW328" s="21"/>
      <c r="EX328" s="21"/>
      <c r="EY328" s="21"/>
      <c r="EZ328" s="21"/>
      <c r="FA328" s="21"/>
      <c r="FB328" s="21"/>
      <c r="FC328" s="21"/>
      <c r="FD328" s="21"/>
      <c r="FE328" s="21"/>
      <c r="FF328" s="21"/>
      <c r="FG328" s="168">
        <v>741437</v>
      </c>
      <c r="FH328" s="21"/>
      <c r="FI328" s="21"/>
      <c r="FJ328" s="21"/>
      <c r="FK328" s="21"/>
      <c r="FL328" s="21"/>
      <c r="FM328" s="21"/>
      <c r="FN328" s="21"/>
      <c r="FO328" s="21"/>
      <c r="FP328" s="21"/>
      <c r="FQ328" s="21"/>
      <c r="FR328" s="21"/>
      <c r="FS328" s="21"/>
      <c r="FT328" s="21"/>
      <c r="FU328" s="21"/>
      <c r="FV328" s="21"/>
      <c r="FW328" s="168">
        <v>-786447</v>
      </c>
      <c r="FX328" s="168">
        <v>746792</v>
      </c>
      <c r="FY328" s="168">
        <v>-25836</v>
      </c>
      <c r="FZ328" s="168">
        <v>25141</v>
      </c>
      <c r="GA328" s="21"/>
      <c r="GB328" s="21"/>
      <c r="GC328" s="21"/>
      <c r="GD328" s="21"/>
      <c r="GE328" s="21"/>
      <c r="GF328" s="21"/>
      <c r="GG328" s="21"/>
      <c r="GH328" s="21"/>
      <c r="GI328" s="21"/>
      <c r="GJ328" s="21"/>
      <c r="GK328" s="21"/>
      <c r="GL328" s="21"/>
      <c r="GM328" s="168">
        <v>1777007</v>
      </c>
      <c r="GN328" s="168">
        <v>1695040</v>
      </c>
      <c r="GO328" s="168">
        <v>1777007</v>
      </c>
      <c r="GP328" s="168">
        <v>1695040</v>
      </c>
      <c r="GQ328" s="21"/>
      <c r="GR328" s="21"/>
      <c r="GS328" s="168">
        <v>1751172</v>
      </c>
      <c r="GT328" s="168">
        <v>1669899</v>
      </c>
      <c r="GU328" s="21"/>
      <c r="GV328" s="21"/>
      <c r="GW328" s="21"/>
      <c r="GX328" s="21"/>
      <c r="GY328" s="21"/>
      <c r="GZ328" s="21"/>
      <c r="HA328" s="21"/>
      <c r="HB328" s="21"/>
      <c r="HC328" s="21"/>
      <c r="HD328" s="21"/>
      <c r="HE328" s="168">
        <v>-7458</v>
      </c>
      <c r="HF328" s="168">
        <v>-13244</v>
      </c>
      <c r="HG328" s="21"/>
      <c r="HH328" s="21"/>
      <c r="HI328" s="168">
        <v>139622</v>
      </c>
      <c r="HJ328" s="168">
        <v>72971</v>
      </c>
      <c r="HK328" s="21"/>
      <c r="HL328" s="21"/>
      <c r="HM328" s="21"/>
      <c r="HN328" s="21"/>
      <c r="HO328" s="21"/>
      <c r="HP328" s="21"/>
      <c r="HQ328" s="21"/>
      <c r="HR328" s="21"/>
      <c r="HS328" s="21"/>
      <c r="HT328" s="21"/>
      <c r="HU328" s="21"/>
      <c r="HV328" s="21"/>
      <c r="HW328" s="21"/>
      <c r="HX328" s="21"/>
      <c r="HY328" s="21"/>
      <c r="HZ328" s="21"/>
      <c r="IA328" s="21"/>
      <c r="IB328" s="21"/>
      <c r="IC328" s="21"/>
      <c r="ID328" s="21"/>
      <c r="IE328" s="168">
        <v>-1263047</v>
      </c>
      <c r="IF328" s="168">
        <v>-1055978</v>
      </c>
      <c r="IG328" s="21"/>
      <c r="IH328" s="21"/>
      <c r="II328" s="21"/>
      <c r="IJ328" s="21"/>
      <c r="IK328" s="21"/>
      <c r="IL328" s="21"/>
      <c r="IM328" s="21"/>
      <c r="IN328" s="21"/>
      <c r="IO328" s="21"/>
      <c r="IP328" s="21"/>
      <c r="IQ328" s="21"/>
      <c r="IR328" s="21"/>
      <c r="IS328" s="21"/>
      <c r="IT328" s="21"/>
      <c r="IU328" s="168">
        <v>2289977</v>
      </c>
      <c r="IV328" s="168">
        <v>2613762</v>
      </c>
      <c r="IW328" s="168">
        <v>2298289</v>
      </c>
      <c r="IX328" s="168">
        <v>2654371</v>
      </c>
      <c r="IY328" s="21"/>
      <c r="IZ328" s="21"/>
      <c r="JA328" s="21"/>
      <c r="JB328" s="21"/>
      <c r="JC328" s="21"/>
      <c r="JD328" s="21"/>
      <c r="JE328" s="21"/>
      <c r="JF328" s="21"/>
      <c r="JG328" s="21"/>
      <c r="JH328" s="21"/>
      <c r="JI328" s="21"/>
      <c r="JJ328" s="21"/>
      <c r="JK328" s="21"/>
      <c r="JL328" s="21"/>
      <c r="JM328" s="21"/>
      <c r="JN328" s="21"/>
      <c r="JO328" s="21"/>
      <c r="JP328" s="21"/>
      <c r="JQ328" s="21"/>
      <c r="JR328" s="21"/>
      <c r="JS328" s="21"/>
      <c r="JT328" s="21"/>
      <c r="JU328" s="21"/>
      <c r="JV328" s="21"/>
      <c r="JW328" s="21"/>
      <c r="JX328" s="21"/>
      <c r="JY328" s="21"/>
      <c r="JZ328" s="21"/>
      <c r="KA328" s="21"/>
      <c r="KB328" s="21"/>
      <c r="KC328" s="21"/>
      <c r="KD328" s="21"/>
      <c r="KE328" s="21"/>
      <c r="KF328" s="21"/>
      <c r="KG328" s="21"/>
      <c r="KH328" s="21"/>
      <c r="KI328" s="168">
        <v>80977242</v>
      </c>
      <c r="KJ328" s="168">
        <v>79722738</v>
      </c>
      <c r="KK328" s="21"/>
      <c r="KL328" s="21"/>
      <c r="KM328" s="21"/>
      <c r="KN328" s="21"/>
      <c r="KO328" s="21"/>
      <c r="KP328" s="21"/>
      <c r="KQ328" s="21"/>
      <c r="KR328" s="21"/>
      <c r="KS328" s="21"/>
      <c r="KT328" s="21"/>
      <c r="KU328" s="21"/>
      <c r="KV328" s="21"/>
      <c r="KW328" s="21"/>
      <c r="KX328" s="21"/>
      <c r="KY328" s="21"/>
      <c r="KZ328" s="21"/>
      <c r="LA328" s="168">
        <v>40000</v>
      </c>
      <c r="LB328" s="168">
        <v>40000</v>
      </c>
      <c r="LC328" s="21"/>
      <c r="LD328" s="21"/>
      <c r="LE328" s="21"/>
      <c r="LF328" s="21"/>
      <c r="LG328" s="21"/>
      <c r="LH328" s="21"/>
      <c r="LI328" s="21"/>
      <c r="LJ328" s="21"/>
      <c r="LK328" s="168">
        <v>5364022</v>
      </c>
      <c r="LL328" s="168">
        <v>7288151</v>
      </c>
      <c r="LM328" s="21"/>
      <c r="LN328" s="21"/>
      <c r="LO328" s="21"/>
      <c r="LP328" s="21"/>
      <c r="LQ328" s="21"/>
      <c r="LR328" s="21"/>
      <c r="LS328" s="21"/>
      <c r="LT328" s="21"/>
      <c r="LU328" s="21"/>
      <c r="LV328" s="21"/>
      <c r="LW328" s="21"/>
      <c r="LX328" s="21"/>
      <c r="LY328" s="21"/>
      <c r="LZ328" s="21"/>
      <c r="MA328" s="21"/>
      <c r="MB328" s="21"/>
      <c r="MC328" s="168">
        <v>18477224</v>
      </c>
      <c r="MD328" s="168">
        <v>12582216</v>
      </c>
      <c r="ME328" s="21"/>
      <c r="MF328" s="21"/>
      <c r="MG328" s="21"/>
      <c r="MH328" s="21"/>
      <c r="MI328" s="21"/>
      <c r="MJ328" s="21"/>
      <c r="MK328" s="21"/>
      <c r="ML328" s="21"/>
      <c r="MM328" s="21"/>
      <c r="MN328" s="21"/>
      <c r="MO328" s="21"/>
      <c r="MP328" s="21"/>
      <c r="MQ328" s="21"/>
      <c r="MR328" s="21"/>
      <c r="MS328" s="21"/>
      <c r="MT328" s="21"/>
      <c r="MU328" s="21"/>
      <c r="MV328" s="21"/>
      <c r="MW328" s="21"/>
      <c r="MX328" s="21"/>
      <c r="MY328" s="21"/>
      <c r="MZ328" s="21"/>
      <c r="NA328" s="21"/>
      <c r="NB328" s="21"/>
      <c r="NC328" s="168">
        <v>1751172</v>
      </c>
      <c r="ND328" s="168">
        <v>1669899</v>
      </c>
      <c r="NE328" s="21"/>
      <c r="NF328" s="21"/>
      <c r="NG328" s="168">
        <v>15288434</v>
      </c>
      <c r="NH328" s="168">
        <v>13536703</v>
      </c>
      <c r="NI328" s="21"/>
      <c r="NJ328" s="21"/>
      <c r="NK328" s="21"/>
      <c r="NL328" s="21"/>
      <c r="NM328" s="168">
        <v>27301104</v>
      </c>
      <c r="NN328" s="168">
        <v>23192749</v>
      </c>
      <c r="NO328" s="168">
        <v>43305820</v>
      </c>
      <c r="NP328" s="168">
        <v>37445510</v>
      </c>
      <c r="NQ328" s="168" t="s">
        <v>1492</v>
      </c>
      <c r="NR328" s="168" t="s">
        <v>779</v>
      </c>
      <c r="NS328" s="168" t="s">
        <v>770</v>
      </c>
      <c r="NT328" s="168" t="s">
        <v>771</v>
      </c>
      <c r="NU328" s="168">
        <v>2701</v>
      </c>
      <c r="NV328" s="168" t="s">
        <v>2104</v>
      </c>
      <c r="NW328" s="168" t="s">
        <v>28</v>
      </c>
      <c r="NX328" s="168" t="s">
        <v>25</v>
      </c>
      <c r="NY328" s="169">
        <v>42766</v>
      </c>
      <c r="NZ328" s="169">
        <v>42400</v>
      </c>
      <c r="OA328" s="169">
        <v>42993</v>
      </c>
      <c r="OB328" s="168" t="s">
        <v>1493</v>
      </c>
      <c r="OC328" s="168">
        <v>12</v>
      </c>
      <c r="OD328" s="168" t="s">
        <v>2105</v>
      </c>
      <c r="OE328" s="168" t="s">
        <v>2155</v>
      </c>
      <c r="OF328" s="168" t="s">
        <v>2589</v>
      </c>
      <c r="OG328" s="168" t="s">
        <v>2052</v>
      </c>
      <c r="OH328" s="168" t="s">
        <v>820</v>
      </c>
      <c r="OI328" s="168" t="s">
        <v>766</v>
      </c>
      <c r="OJ328" s="168" t="s">
        <v>3240</v>
      </c>
      <c r="OK328" s="168" t="s">
        <v>778</v>
      </c>
    </row>
    <row r="329" spans="1:401" x14ac:dyDescent="0.2">
      <c r="A329" s="170" t="str">
        <f>Liste[[#This Row],[Siren]]</f>
        <v>440421493</v>
      </c>
      <c r="B329" s="198" t="str">
        <f>Liste[[#This Row],[Dénomination]]&amp;" - comptes "&amp;YEAR(Liste[[#This Row],[Date de cloture de l''exercice]])</f>
        <v>PORROIG - comptes 2017</v>
      </c>
      <c r="C329" s="21"/>
      <c r="D329" s="21"/>
      <c r="E329" s="21"/>
      <c r="F329" s="168">
        <v>2565455</v>
      </c>
      <c r="G329" s="168">
        <v>1688819</v>
      </c>
      <c r="H329" s="168">
        <v>2565455</v>
      </c>
      <c r="I329" s="168">
        <v>707744</v>
      </c>
      <c r="J329" s="168">
        <v>310997</v>
      </c>
      <c r="K329" s="168">
        <v>290272</v>
      </c>
      <c r="L329" s="168">
        <v>1018741</v>
      </c>
      <c r="M329" s="21"/>
      <c r="N329" s="168">
        <v>401</v>
      </c>
      <c r="O329" s="168">
        <v>439</v>
      </c>
      <c r="P329" s="168">
        <v>401</v>
      </c>
      <c r="Q329" s="168">
        <v>395</v>
      </c>
      <c r="R329" s="168">
        <v>2503</v>
      </c>
      <c r="S329" s="21"/>
      <c r="T329" s="168">
        <v>2898</v>
      </c>
      <c r="U329" s="21"/>
      <c r="V329" s="21"/>
      <c r="W329" s="21"/>
      <c r="X329" s="21"/>
      <c r="Y329" s="21"/>
      <c r="Z329" s="21"/>
      <c r="AA329" s="168">
        <v>155</v>
      </c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168">
        <v>693160</v>
      </c>
      <c r="BA329" s="168">
        <v>711752</v>
      </c>
      <c r="BB329" s="168">
        <v>693160</v>
      </c>
      <c r="BC329" s="168">
        <v>44443</v>
      </c>
      <c r="BD329" s="168">
        <v>735401</v>
      </c>
      <c r="BE329" s="168">
        <v>626138</v>
      </c>
      <c r="BF329" s="168">
        <v>779844</v>
      </c>
      <c r="BG329" s="168">
        <v>101475</v>
      </c>
      <c r="BH329" s="21"/>
      <c r="BI329" s="168">
        <v>320</v>
      </c>
      <c r="BJ329" s="168">
        <v>101475</v>
      </c>
      <c r="BK329" s="168">
        <v>30124051</v>
      </c>
      <c r="BL329" s="168">
        <v>23566374</v>
      </c>
      <c r="BM329" s="168">
        <v>26613451</v>
      </c>
      <c r="BN329" s="168">
        <v>53690425</v>
      </c>
      <c r="BO329" s="21"/>
      <c r="BP329" s="21"/>
      <c r="BQ329" s="21"/>
      <c r="BR329" s="21"/>
      <c r="BS329" s="21"/>
      <c r="BT329" s="21"/>
      <c r="BU329" s="21"/>
      <c r="BV329" s="21"/>
      <c r="BW329" s="21"/>
      <c r="BX329" s="168">
        <v>5038090</v>
      </c>
      <c r="BY329" s="168">
        <v>2626683</v>
      </c>
      <c r="BZ329" s="168">
        <v>5038090</v>
      </c>
      <c r="CA329" s="21"/>
      <c r="CB329" s="21"/>
      <c r="CC329" s="21"/>
      <c r="CD329" s="168">
        <v>14828800</v>
      </c>
      <c r="CE329" s="168">
        <v>17725181</v>
      </c>
      <c r="CF329" s="168">
        <v>17725181</v>
      </c>
      <c r="CG329" s="168">
        <v>32553981</v>
      </c>
      <c r="CH329" s="21"/>
      <c r="CI329" s="21"/>
      <c r="CJ329" s="21"/>
      <c r="CK329" s="21"/>
      <c r="CL329" s="21"/>
      <c r="CM329" s="21"/>
      <c r="CN329" s="21"/>
      <c r="CO329" s="21"/>
      <c r="CP329" s="21"/>
      <c r="CQ329" s="21"/>
      <c r="CR329" s="21"/>
      <c r="CS329" s="21"/>
      <c r="CT329" s="21"/>
      <c r="CU329" s="21"/>
      <c r="CV329" s="21"/>
      <c r="CW329" s="21"/>
      <c r="CX329" s="21"/>
      <c r="CY329" s="21"/>
      <c r="CZ329" s="21"/>
      <c r="DA329" s="21"/>
      <c r="DB329" s="21"/>
      <c r="DC329" s="168">
        <v>131775</v>
      </c>
      <c r="DD329" s="168">
        <v>32665</v>
      </c>
      <c r="DE329" s="168">
        <v>131775</v>
      </c>
      <c r="DF329" s="168">
        <v>6617204</v>
      </c>
      <c r="DG329" s="168">
        <v>1951021</v>
      </c>
      <c r="DH329" s="168">
        <v>2103390</v>
      </c>
      <c r="DI329" s="168">
        <v>8568225</v>
      </c>
      <c r="DJ329" s="168">
        <v>369228</v>
      </c>
      <c r="DK329" s="168">
        <v>9164604</v>
      </c>
      <c r="DL329" s="168">
        <v>8914288</v>
      </c>
      <c r="DM329" s="168">
        <v>9533832</v>
      </c>
      <c r="DN329" s="21"/>
      <c r="DO329" s="168">
        <v>80407</v>
      </c>
      <c r="DP329" s="168">
        <v>40182</v>
      </c>
      <c r="DQ329" s="168">
        <v>80407</v>
      </c>
      <c r="DR329" s="21"/>
      <c r="DS329" s="21"/>
      <c r="DT329" s="21"/>
      <c r="DU329" s="21"/>
      <c r="DV329" s="21"/>
      <c r="DW329" s="168">
        <v>14761</v>
      </c>
      <c r="DX329" s="168">
        <v>16415</v>
      </c>
      <c r="DY329" s="168">
        <v>14761</v>
      </c>
      <c r="DZ329" s="21"/>
      <c r="EA329" s="21"/>
      <c r="EB329" s="21"/>
      <c r="EC329" s="21"/>
      <c r="ED329" s="21"/>
      <c r="EE329" s="21"/>
      <c r="EF329" s="21"/>
      <c r="EG329" s="21"/>
      <c r="EH329" s="21"/>
      <c r="EI329" s="21"/>
      <c r="EJ329" s="21"/>
      <c r="EK329" s="168">
        <v>53361480</v>
      </c>
      <c r="EL329" s="168">
        <v>48561197</v>
      </c>
      <c r="EM329" s="168">
        <v>51591989</v>
      </c>
      <c r="EN329" s="168">
        <v>101922677</v>
      </c>
      <c r="EO329" s="168">
        <v>448327</v>
      </c>
      <c r="EP329" s="168">
        <v>20847018</v>
      </c>
      <c r="EQ329" s="168">
        <v>16930290</v>
      </c>
      <c r="ER329" s="168">
        <v>21295345</v>
      </c>
      <c r="ES329" s="168">
        <v>53809807</v>
      </c>
      <c r="ET329" s="168">
        <v>69408215</v>
      </c>
      <c r="EU329" s="168">
        <v>68522279</v>
      </c>
      <c r="EV329" s="168">
        <v>123218022</v>
      </c>
      <c r="EW329" s="168">
        <v>981811</v>
      </c>
      <c r="EX329" s="168">
        <v>3547452</v>
      </c>
      <c r="EY329" s="168">
        <v>3508569</v>
      </c>
      <c r="EZ329" s="168">
        <v>4529263</v>
      </c>
      <c r="FA329" s="21"/>
      <c r="FB329" s="21"/>
      <c r="FC329" s="21"/>
      <c r="FD329" s="21"/>
      <c r="FE329" s="168">
        <v>34656</v>
      </c>
      <c r="FF329" s="168">
        <v>2569901</v>
      </c>
      <c r="FG329" s="168">
        <v>2257022</v>
      </c>
      <c r="FH329" s="168">
        <v>2604557</v>
      </c>
      <c r="FI329" s="168">
        <v>126032</v>
      </c>
      <c r="FJ329" s="168">
        <v>-58960</v>
      </c>
      <c r="FK329" s="21"/>
      <c r="FL329" s="21"/>
      <c r="FM329" s="168">
        <v>96904</v>
      </c>
      <c r="FN329" s="168">
        <v>249232</v>
      </c>
      <c r="FO329" s="168">
        <v>245159</v>
      </c>
      <c r="FP329" s="168">
        <v>246746</v>
      </c>
      <c r="FQ329" s="21"/>
      <c r="FR329" s="168">
        <v>1390210</v>
      </c>
      <c r="FS329" s="168">
        <v>200000</v>
      </c>
      <c r="FT329" s="21"/>
      <c r="FU329" s="168">
        <v>-422956</v>
      </c>
      <c r="FV329" s="168">
        <v>-405941</v>
      </c>
      <c r="FW329" s="168">
        <v>1285456</v>
      </c>
      <c r="FX329" s="168">
        <v>1143942</v>
      </c>
      <c r="FY329" s="168">
        <v>-149</v>
      </c>
      <c r="FZ329" s="168">
        <v>-186</v>
      </c>
      <c r="GA329" s="21"/>
      <c r="GB329" s="21"/>
      <c r="GC329" s="168">
        <v>38161</v>
      </c>
      <c r="GD329" s="168">
        <v>13822</v>
      </c>
      <c r="GE329" s="168">
        <v>629934</v>
      </c>
      <c r="GF329" s="168">
        <v>323196</v>
      </c>
      <c r="GG329" s="21"/>
      <c r="GH329" s="21"/>
      <c r="GI329" s="21"/>
      <c r="GJ329" s="21"/>
      <c r="GK329" s="21"/>
      <c r="GL329" s="168">
        <v>100000</v>
      </c>
      <c r="GM329" s="168">
        <v>2339379</v>
      </c>
      <c r="GN329" s="168">
        <v>621179</v>
      </c>
      <c r="GO329" s="168">
        <v>2339379</v>
      </c>
      <c r="GP329" s="168">
        <v>2011389</v>
      </c>
      <c r="GQ329" s="21"/>
      <c r="GR329" s="21"/>
      <c r="GS329" s="168">
        <v>2339528</v>
      </c>
      <c r="GT329" s="168">
        <v>621365</v>
      </c>
      <c r="GU329" s="168">
        <v>542063</v>
      </c>
      <c r="GV329" s="168">
        <v>495978</v>
      </c>
      <c r="GW329" s="168">
        <v>668095</v>
      </c>
      <c r="GX329" s="168">
        <v>437018</v>
      </c>
      <c r="GY329" s="168">
        <v>108223848</v>
      </c>
      <c r="GZ329" s="168">
        <v>105643740</v>
      </c>
      <c r="HA329" s="168">
        <v>476500</v>
      </c>
      <c r="HB329" s="168">
        <v>395773</v>
      </c>
      <c r="HC329" s="168">
        <v>8511288</v>
      </c>
      <c r="HD329" s="168">
        <v>8302323</v>
      </c>
      <c r="HE329" s="168">
        <v>187101</v>
      </c>
      <c r="HF329" s="168">
        <v>55591</v>
      </c>
      <c r="HG329" s="168">
        <v>53000</v>
      </c>
      <c r="HH329" s="168">
        <v>68530</v>
      </c>
      <c r="HI329" s="168">
        <v>69809</v>
      </c>
      <c r="HJ329" s="168">
        <v>63978</v>
      </c>
      <c r="HK329" s="21"/>
      <c r="HL329" s="21"/>
      <c r="HM329" s="168">
        <v>49160</v>
      </c>
      <c r="HN329" s="168">
        <v>20543</v>
      </c>
      <c r="HO329" s="168">
        <v>2767172</v>
      </c>
      <c r="HP329" s="168">
        <v>2722955</v>
      </c>
      <c r="HQ329" s="21"/>
      <c r="HR329" s="21"/>
      <c r="HS329" s="21"/>
      <c r="HT329" s="21"/>
      <c r="HU329" s="168">
        <v>3909684</v>
      </c>
      <c r="HV329" s="168">
        <v>4009756</v>
      </c>
      <c r="HW329" s="21"/>
      <c r="HX329" s="21"/>
      <c r="HY329" s="168">
        <v>76777</v>
      </c>
      <c r="HZ329" s="21"/>
      <c r="IA329" s="168">
        <v>413671</v>
      </c>
      <c r="IB329" s="168">
        <v>308939</v>
      </c>
      <c r="IC329" s="168">
        <v>34656</v>
      </c>
      <c r="ID329" s="168">
        <v>154812</v>
      </c>
      <c r="IE329" s="168">
        <v>2134502</v>
      </c>
      <c r="IF329" s="168">
        <v>2097752</v>
      </c>
      <c r="IG329" s="168">
        <v>768352</v>
      </c>
      <c r="IH329" s="168">
        <v>1303754</v>
      </c>
      <c r="II329" s="21"/>
      <c r="IJ329" s="21"/>
      <c r="IK329" s="21"/>
      <c r="IL329" s="21"/>
      <c r="IM329" s="21"/>
      <c r="IN329" s="21"/>
      <c r="IO329" s="21"/>
      <c r="IP329" s="21"/>
      <c r="IQ329" s="21"/>
      <c r="IR329" s="21"/>
      <c r="IS329" s="168">
        <v>9627</v>
      </c>
      <c r="IT329" s="168">
        <v>34893</v>
      </c>
      <c r="IU329" s="168">
        <v>3075847</v>
      </c>
      <c r="IV329" s="168">
        <v>2808350</v>
      </c>
      <c r="IW329" s="168">
        <v>3707527</v>
      </c>
      <c r="IX329" s="168">
        <v>4177860</v>
      </c>
      <c r="IY329" s="168">
        <v>-631680</v>
      </c>
      <c r="IZ329" s="168">
        <v>-1369510</v>
      </c>
      <c r="JA329" s="168">
        <v>685697</v>
      </c>
      <c r="JB329" s="168">
        <v>816685</v>
      </c>
      <c r="JC329" s="168">
        <v>157861</v>
      </c>
      <c r="JD329" s="168">
        <v>6176</v>
      </c>
      <c r="JE329" s="168">
        <v>11347965</v>
      </c>
      <c r="JF329" s="168">
        <v>10982797</v>
      </c>
      <c r="JG329" s="168">
        <v>65913</v>
      </c>
      <c r="JH329" s="168">
        <v>50402</v>
      </c>
      <c r="JI329" s="168">
        <v>137687988</v>
      </c>
      <c r="JJ329" s="168">
        <v>134566950</v>
      </c>
      <c r="JK329" s="168">
        <v>852168</v>
      </c>
      <c r="JL329" s="168">
        <v>1479109</v>
      </c>
      <c r="JM329" s="168">
        <v>141395515</v>
      </c>
      <c r="JN329" s="168">
        <v>138744810</v>
      </c>
      <c r="JO329" s="168">
        <v>220488</v>
      </c>
      <c r="JP329" s="168">
        <v>109599</v>
      </c>
      <c r="JQ329" s="168">
        <v>-320295</v>
      </c>
      <c r="JR329" s="168">
        <v>44381</v>
      </c>
      <c r="JS329" s="168">
        <v>-40225</v>
      </c>
      <c r="JT329" s="168">
        <v>2943</v>
      </c>
      <c r="JU329" s="21"/>
      <c r="JV329" s="168">
        <v>140574096</v>
      </c>
      <c r="JW329" s="168">
        <v>140574096</v>
      </c>
      <c r="JX329" s="168">
        <v>137813745</v>
      </c>
      <c r="JY329" s="21"/>
      <c r="JZ329" s="21"/>
      <c r="KA329" s="21"/>
      <c r="KB329" s="21"/>
      <c r="KC329" s="21"/>
      <c r="KD329" s="168">
        <v>2105751</v>
      </c>
      <c r="KE329" s="168">
        <v>2105751</v>
      </c>
      <c r="KF329" s="168">
        <v>1978836</v>
      </c>
      <c r="KG329" s="21"/>
      <c r="KH329" s="168">
        <v>138468345</v>
      </c>
      <c r="KI329" s="168">
        <v>138468345</v>
      </c>
      <c r="KJ329" s="168">
        <v>135834909</v>
      </c>
      <c r="KK329" s="21"/>
      <c r="KL329" s="21"/>
      <c r="KM329" s="21"/>
      <c r="KN329" s="21"/>
      <c r="KO329" s="21"/>
      <c r="KP329" s="21"/>
      <c r="KQ329" s="168">
        <v>12012</v>
      </c>
      <c r="KR329" s="168">
        <v>12564</v>
      </c>
      <c r="KS329" s="21"/>
      <c r="KT329" s="21"/>
      <c r="KU329" s="168">
        <v>20681450</v>
      </c>
      <c r="KV329" s="168">
        <v>18522591</v>
      </c>
      <c r="KW329" s="21"/>
      <c r="KX329" s="21"/>
      <c r="KY329" s="168">
        <v>1850</v>
      </c>
      <c r="KZ329" s="168">
        <v>484</v>
      </c>
      <c r="LA329" s="168">
        <v>9100000</v>
      </c>
      <c r="LB329" s="168">
        <v>9100000</v>
      </c>
      <c r="LC329" s="21"/>
      <c r="LD329" s="21"/>
      <c r="LE329" s="168">
        <v>-149</v>
      </c>
      <c r="LF329" s="168">
        <v>-186</v>
      </c>
      <c r="LG329" s="21"/>
      <c r="LH329" s="21"/>
      <c r="LI329" s="168">
        <v>4267229</v>
      </c>
      <c r="LJ329" s="168">
        <v>4401444</v>
      </c>
      <c r="LK329" s="168">
        <v>9533634</v>
      </c>
      <c r="LL329" s="168">
        <v>9906359</v>
      </c>
      <c r="LM329" s="168">
        <v>103895</v>
      </c>
      <c r="LN329" s="168">
        <v>179543</v>
      </c>
      <c r="LO329" s="21"/>
      <c r="LP329" s="21"/>
      <c r="LQ329" s="21"/>
      <c r="LR329" s="21"/>
      <c r="LS329" s="21"/>
      <c r="LT329" s="21"/>
      <c r="LU329" s="21"/>
      <c r="LV329" s="21"/>
      <c r="LW329" s="21"/>
      <c r="LX329" s="21"/>
      <c r="LY329" s="21"/>
      <c r="LZ329" s="21"/>
      <c r="MA329" s="168">
        <v>40473010</v>
      </c>
      <c r="MB329" s="168">
        <v>40841885</v>
      </c>
      <c r="MC329" s="168">
        <v>172828</v>
      </c>
      <c r="MD329" s="168">
        <v>178980</v>
      </c>
      <c r="ME329" s="21"/>
      <c r="MF329" s="21"/>
      <c r="MG329" s="168">
        <v>2477178</v>
      </c>
      <c r="MH329" s="168">
        <v>2965538</v>
      </c>
      <c r="MI329" s="168">
        <v>840000</v>
      </c>
      <c r="MJ329" s="168">
        <v>840000</v>
      </c>
      <c r="MK329" s="21"/>
      <c r="ML329" s="21"/>
      <c r="MM329" s="168">
        <v>52284</v>
      </c>
      <c r="MN329" s="168">
        <v>66543</v>
      </c>
      <c r="MO329" s="168">
        <v>1031657</v>
      </c>
      <c r="MP329" s="168">
        <v>954880</v>
      </c>
      <c r="MQ329" s="168">
        <v>200000</v>
      </c>
      <c r="MR329" s="21"/>
      <c r="MS329" s="21"/>
      <c r="MT329" s="21"/>
      <c r="MU329" s="21"/>
      <c r="MV329" s="21"/>
      <c r="MW329" s="168">
        <v>910000</v>
      </c>
      <c r="MX329" s="168">
        <v>910000</v>
      </c>
      <c r="MY329" s="21"/>
      <c r="MZ329" s="21"/>
      <c r="NA329" s="21"/>
      <c r="NB329" s="21"/>
      <c r="NC329" s="168">
        <v>2339528</v>
      </c>
      <c r="ND329" s="168">
        <v>621365</v>
      </c>
      <c r="NE329" s="21"/>
      <c r="NF329" s="21"/>
      <c r="NG329" s="168">
        <v>11088779</v>
      </c>
      <c r="NH329" s="168">
        <v>9020051</v>
      </c>
      <c r="NI329" s="21"/>
      <c r="NJ329" s="21"/>
      <c r="NK329" s="168">
        <v>-6141</v>
      </c>
      <c r="NL329" s="168">
        <v>-5992</v>
      </c>
      <c r="NM329" s="168">
        <v>54616742</v>
      </c>
      <c r="NN329" s="168">
        <v>55587802</v>
      </c>
      <c r="NO329" s="168">
        <v>69408215</v>
      </c>
      <c r="NP329" s="168">
        <v>68522279</v>
      </c>
      <c r="NQ329" s="168" t="s">
        <v>3410</v>
      </c>
      <c r="NR329" s="168" t="s">
        <v>797</v>
      </c>
      <c r="NS329" s="168" t="s">
        <v>770</v>
      </c>
      <c r="NT329" s="168" t="s">
        <v>771</v>
      </c>
      <c r="NU329" s="168">
        <v>4901</v>
      </c>
      <c r="NV329" s="168" t="s">
        <v>2104</v>
      </c>
      <c r="NW329" s="168" t="s">
        <v>28</v>
      </c>
      <c r="NX329" s="168" t="s">
        <v>25</v>
      </c>
      <c r="NY329" s="169">
        <v>42766</v>
      </c>
      <c r="NZ329" s="169">
        <v>42400</v>
      </c>
      <c r="OA329" s="169">
        <v>42989</v>
      </c>
      <c r="OB329" s="168" t="s">
        <v>1570</v>
      </c>
      <c r="OC329" s="168">
        <v>12</v>
      </c>
      <c r="OD329" s="168" t="s">
        <v>2106</v>
      </c>
      <c r="OE329" s="168" t="s">
        <v>2646</v>
      </c>
      <c r="OF329" s="168" t="s">
        <v>2647</v>
      </c>
      <c r="OG329" s="168" t="s">
        <v>2093</v>
      </c>
      <c r="OH329" s="168" t="s">
        <v>798</v>
      </c>
      <c r="OI329" s="168" t="s">
        <v>766</v>
      </c>
      <c r="OJ329" s="168" t="s">
        <v>3240</v>
      </c>
      <c r="OK329" s="168" t="s">
        <v>796</v>
      </c>
    </row>
    <row r="330" spans="1:401" x14ac:dyDescent="0.2">
      <c r="A330" s="170" t="str">
        <f>Liste[[#This Row],[Siren]]</f>
        <v>480589688</v>
      </c>
      <c r="B330" s="198" t="str">
        <f>Liste[[#This Row],[Dénomination]]&amp;" - comptes "&amp;YEAR(Liste[[#This Row],[Date de cloture de l''exercice]])</f>
        <v>BOCQISTRES - comptes 2017</v>
      </c>
      <c r="C330" s="21"/>
      <c r="D330" s="21"/>
      <c r="E330" s="21"/>
      <c r="F330" s="168">
        <v>531312</v>
      </c>
      <c r="G330" s="168">
        <v>428408</v>
      </c>
      <c r="H330" s="168">
        <v>531312</v>
      </c>
      <c r="I330" s="168">
        <v>2456396</v>
      </c>
      <c r="J330" s="168">
        <v>1032811</v>
      </c>
      <c r="K330" s="168">
        <v>1075658</v>
      </c>
      <c r="L330" s="168">
        <v>3489207</v>
      </c>
      <c r="M330" s="21"/>
      <c r="N330" s="168">
        <v>2608</v>
      </c>
      <c r="O330" s="168">
        <v>14994</v>
      </c>
      <c r="P330" s="168">
        <v>2608</v>
      </c>
      <c r="Q330" s="21"/>
      <c r="R330" s="21"/>
      <c r="S330" s="21"/>
      <c r="T330" s="21"/>
      <c r="U330" s="21"/>
      <c r="V330" s="168">
        <v>854177</v>
      </c>
      <c r="W330" s="168">
        <v>865020</v>
      </c>
      <c r="X330" s="168">
        <v>854177</v>
      </c>
      <c r="Y330" s="21"/>
      <c r="Z330" s="168">
        <v>33305</v>
      </c>
      <c r="AA330" s="168">
        <v>47740</v>
      </c>
      <c r="AB330" s="168">
        <v>33305</v>
      </c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168">
        <v>203874</v>
      </c>
      <c r="BA330" s="168">
        <v>227864</v>
      </c>
      <c r="BB330" s="168">
        <v>203874</v>
      </c>
      <c r="BC330" s="21"/>
      <c r="BD330" s="168">
        <v>97150</v>
      </c>
      <c r="BE330" s="168">
        <v>288758</v>
      </c>
      <c r="BF330" s="168">
        <v>97150</v>
      </c>
      <c r="BG330" s="21"/>
      <c r="BH330" s="21"/>
      <c r="BI330" s="21"/>
      <c r="BJ330" s="21"/>
      <c r="BK330" s="168">
        <v>6340110</v>
      </c>
      <c r="BL330" s="168">
        <v>4509219</v>
      </c>
      <c r="BM330" s="168">
        <v>4934411</v>
      </c>
      <c r="BN330" s="168">
        <v>10849330</v>
      </c>
      <c r="BO330" s="21"/>
      <c r="BP330" s="168">
        <v>30441</v>
      </c>
      <c r="BQ330" s="168">
        <v>37512</v>
      </c>
      <c r="BR330" s="168">
        <v>30441</v>
      </c>
      <c r="BS330" s="21"/>
      <c r="BT330" s="21"/>
      <c r="BU330" s="21"/>
      <c r="BV330" s="21"/>
      <c r="BW330" s="21"/>
      <c r="BX330" s="168">
        <v>4274164</v>
      </c>
      <c r="BY330" s="168">
        <v>29323771</v>
      </c>
      <c r="BZ330" s="168">
        <v>4274164</v>
      </c>
      <c r="CA330" s="21"/>
      <c r="CB330" s="21"/>
      <c r="CC330" s="21"/>
      <c r="CD330" s="168">
        <v>2898372</v>
      </c>
      <c r="CE330" s="168">
        <v>12092491</v>
      </c>
      <c r="CF330" s="168">
        <v>241531</v>
      </c>
      <c r="CG330" s="168">
        <v>14990863</v>
      </c>
      <c r="CH330" s="21"/>
      <c r="CI330" s="21"/>
      <c r="CJ330" s="21"/>
      <c r="CK330" s="21"/>
      <c r="CL330" s="21"/>
      <c r="CM330" s="21"/>
      <c r="CN330" s="21"/>
      <c r="CO330" s="21"/>
      <c r="CP330" s="21"/>
      <c r="CQ330" s="21"/>
      <c r="CR330" s="21"/>
      <c r="CS330" s="21"/>
      <c r="CT330" s="21"/>
      <c r="CU330" s="21"/>
      <c r="CV330" s="21"/>
      <c r="CW330" s="21"/>
      <c r="CX330" s="21"/>
      <c r="CY330" s="21"/>
      <c r="CZ330" s="21"/>
      <c r="DA330" s="21"/>
      <c r="DB330" s="21"/>
      <c r="DC330" s="21"/>
      <c r="DD330" s="21"/>
      <c r="DE330" s="21"/>
      <c r="DF330" s="168">
        <v>1606973</v>
      </c>
      <c r="DG330" s="168">
        <v>449040</v>
      </c>
      <c r="DH330" s="168">
        <v>665580</v>
      </c>
      <c r="DI330" s="168">
        <v>2056012</v>
      </c>
      <c r="DJ330" s="21"/>
      <c r="DK330" s="168">
        <v>4174138</v>
      </c>
      <c r="DL330" s="168">
        <v>3967900</v>
      </c>
      <c r="DM330" s="168">
        <v>4174138</v>
      </c>
      <c r="DN330" s="21"/>
      <c r="DO330" s="21"/>
      <c r="DP330" s="21"/>
      <c r="DQ330" s="21"/>
      <c r="DR330" s="21"/>
      <c r="DS330" s="21"/>
      <c r="DT330" s="21"/>
      <c r="DU330" s="21"/>
      <c r="DV330" s="21"/>
      <c r="DW330" s="168">
        <v>868877</v>
      </c>
      <c r="DX330" s="168">
        <v>862280</v>
      </c>
      <c r="DY330" s="168">
        <v>868877</v>
      </c>
      <c r="DZ330" s="21"/>
      <c r="EA330" s="21"/>
      <c r="EB330" s="21"/>
      <c r="EC330" s="21"/>
      <c r="ED330" s="21"/>
      <c r="EE330" s="21"/>
      <c r="EF330" s="21"/>
      <c r="EG330" s="21"/>
      <c r="EH330" s="21"/>
      <c r="EI330" s="21"/>
      <c r="EJ330" s="21"/>
      <c r="EK330" s="168">
        <v>13467189</v>
      </c>
      <c r="EL330" s="168">
        <v>23828917</v>
      </c>
      <c r="EM330" s="168">
        <v>24797220</v>
      </c>
      <c r="EN330" s="168">
        <v>37296107</v>
      </c>
      <c r="EO330" s="168">
        <v>3000</v>
      </c>
      <c r="EP330" s="168">
        <v>10971838</v>
      </c>
      <c r="EQ330" s="168">
        <v>11191122</v>
      </c>
      <c r="ER330" s="168">
        <v>10974838</v>
      </c>
      <c r="ES330" s="168">
        <v>13470189</v>
      </c>
      <c r="ET330" s="168">
        <v>34800756</v>
      </c>
      <c r="EU330" s="168">
        <v>35988341</v>
      </c>
      <c r="EV330" s="168">
        <v>48270945</v>
      </c>
      <c r="EW330" s="168">
        <v>28340</v>
      </c>
      <c r="EX330" s="168">
        <v>3955949</v>
      </c>
      <c r="EY330" s="168">
        <v>3955949</v>
      </c>
      <c r="EZ330" s="168">
        <v>3984289</v>
      </c>
      <c r="FA330" s="21"/>
      <c r="FB330" s="21"/>
      <c r="FC330" s="21"/>
      <c r="FD330" s="21"/>
      <c r="FE330" s="21"/>
      <c r="FF330" s="168">
        <v>612688</v>
      </c>
      <c r="FG330" s="168">
        <v>2502587</v>
      </c>
      <c r="FH330" s="168">
        <v>612688</v>
      </c>
      <c r="FI330" s="168">
        <v>-31019</v>
      </c>
      <c r="FJ330" s="168">
        <v>-1230</v>
      </c>
      <c r="FK330" s="21"/>
      <c r="FL330" s="21"/>
      <c r="FM330" s="168">
        <v>3800</v>
      </c>
      <c r="FN330" s="168">
        <v>8824</v>
      </c>
      <c r="FO330" s="168">
        <v>28064</v>
      </c>
      <c r="FP330" s="168">
        <v>58874</v>
      </c>
      <c r="FQ330" s="21"/>
      <c r="FR330" s="21"/>
      <c r="FS330" s="21"/>
      <c r="FT330" s="21"/>
      <c r="FU330" s="21"/>
      <c r="FV330" s="21"/>
      <c r="FW330" s="168">
        <v>881184</v>
      </c>
      <c r="FX330" s="168">
        <v>778106</v>
      </c>
      <c r="FY330" s="168">
        <v>603</v>
      </c>
      <c r="FZ330" s="168">
        <v>579</v>
      </c>
      <c r="GA330" s="21"/>
      <c r="GB330" s="21"/>
      <c r="GC330" s="168">
        <v>845</v>
      </c>
      <c r="GD330" s="21"/>
      <c r="GE330" s="21"/>
      <c r="GF330" s="168">
        <v>66467</v>
      </c>
      <c r="GG330" s="21"/>
      <c r="GH330" s="21"/>
      <c r="GI330" s="21"/>
      <c r="GJ330" s="21"/>
      <c r="GK330" s="21"/>
      <c r="GL330" s="21"/>
      <c r="GM330" s="168">
        <v>2182217</v>
      </c>
      <c r="GN330" s="168">
        <v>2012933</v>
      </c>
      <c r="GO330" s="21"/>
      <c r="GP330" s="21"/>
      <c r="GQ330" s="21"/>
      <c r="GR330" s="21"/>
      <c r="GS330" s="168">
        <v>2181613</v>
      </c>
      <c r="GT330" s="168">
        <v>2012354</v>
      </c>
      <c r="GU330" s="168">
        <v>31864</v>
      </c>
      <c r="GV330" s="168">
        <v>67698</v>
      </c>
      <c r="GW330" s="168">
        <v>845</v>
      </c>
      <c r="GX330" s="168">
        <v>66467</v>
      </c>
      <c r="GY330" s="168">
        <v>56825433</v>
      </c>
      <c r="GZ330" s="168">
        <v>55745812</v>
      </c>
      <c r="HA330" s="168">
        <v>1944155</v>
      </c>
      <c r="HB330" s="168">
        <v>1886423</v>
      </c>
      <c r="HC330" s="168">
        <v>3100066</v>
      </c>
      <c r="HD330" s="168">
        <v>2937974</v>
      </c>
      <c r="HE330" s="168">
        <v>2358</v>
      </c>
      <c r="HF330" s="168">
        <v>16244</v>
      </c>
      <c r="HG330" s="168">
        <v>51357</v>
      </c>
      <c r="HH330" s="168">
        <v>49865</v>
      </c>
      <c r="HI330" s="21"/>
      <c r="HJ330" s="21"/>
      <c r="HK330" s="21"/>
      <c r="HL330" s="21"/>
      <c r="HM330" s="21"/>
      <c r="HN330" s="21"/>
      <c r="HO330" s="168">
        <v>2030466</v>
      </c>
      <c r="HP330" s="168">
        <v>1883189</v>
      </c>
      <c r="HQ330" s="21"/>
      <c r="HR330" s="21"/>
      <c r="HS330" s="21"/>
      <c r="HT330" s="21"/>
      <c r="HU330" s="21"/>
      <c r="HV330" s="21"/>
      <c r="HW330" s="21"/>
      <c r="HX330" s="21"/>
      <c r="HY330" s="21"/>
      <c r="HZ330" s="21"/>
      <c r="IA330" s="168">
        <v>73969</v>
      </c>
      <c r="IB330" s="168">
        <v>12701</v>
      </c>
      <c r="IC330" s="21"/>
      <c r="ID330" s="21"/>
      <c r="IE330" s="168">
        <v>1184995</v>
      </c>
      <c r="IF330" s="168">
        <v>1151417</v>
      </c>
      <c r="IG330" s="168">
        <v>302114</v>
      </c>
      <c r="IH330" s="168">
        <v>417879</v>
      </c>
      <c r="II330" s="21"/>
      <c r="IJ330" s="21"/>
      <c r="IK330" s="21"/>
      <c r="IL330" s="21"/>
      <c r="IM330" s="21"/>
      <c r="IN330" s="21"/>
      <c r="IO330" s="168">
        <v>-30</v>
      </c>
      <c r="IP330" s="168">
        <v>2097</v>
      </c>
      <c r="IQ330" s="168">
        <v>146190</v>
      </c>
      <c r="IR330" s="168">
        <v>1506</v>
      </c>
      <c r="IS330" s="21"/>
      <c r="IT330" s="21"/>
      <c r="IU330" s="168">
        <v>3088418</v>
      </c>
      <c r="IV330" s="168">
        <v>2818079</v>
      </c>
      <c r="IW330" s="168">
        <v>3193015</v>
      </c>
      <c r="IX330" s="168">
        <v>31824891</v>
      </c>
      <c r="IY330" s="168">
        <v>-104597</v>
      </c>
      <c r="IZ330" s="168">
        <v>-364410</v>
      </c>
      <c r="JA330" s="21"/>
      <c r="JB330" s="168">
        <v>1640</v>
      </c>
      <c r="JC330" s="21"/>
      <c r="JD330" s="21"/>
      <c r="JE330" s="168">
        <v>5507467</v>
      </c>
      <c r="JF330" s="168">
        <v>5251812</v>
      </c>
      <c r="JG330" s="168">
        <v>12005</v>
      </c>
      <c r="JH330" s="21"/>
      <c r="JI330" s="168">
        <v>13233117</v>
      </c>
      <c r="JJ330" s="168">
        <v>12652782</v>
      </c>
      <c r="JK330" s="168">
        <v>302114</v>
      </c>
      <c r="JL330" s="168">
        <v>417879</v>
      </c>
      <c r="JM330" s="168">
        <v>74989482</v>
      </c>
      <c r="JN330" s="168">
        <v>73418297</v>
      </c>
      <c r="JO330" s="168">
        <v>197517</v>
      </c>
      <c r="JP330" s="168">
        <v>53469</v>
      </c>
      <c r="JQ330" s="168">
        <v>-206238</v>
      </c>
      <c r="JR330" s="168">
        <v>-49209</v>
      </c>
      <c r="JS330" s="21"/>
      <c r="JT330" s="21"/>
      <c r="JU330" s="21"/>
      <c r="JV330" s="21"/>
      <c r="JW330" s="168">
        <v>74901559</v>
      </c>
      <c r="JX330" s="168">
        <v>73289873</v>
      </c>
      <c r="JY330" s="21"/>
      <c r="JZ330" s="21"/>
      <c r="KA330" s="21"/>
      <c r="KB330" s="21"/>
      <c r="KC330" s="21"/>
      <c r="KD330" s="21"/>
      <c r="KE330" s="21"/>
      <c r="KF330" s="21"/>
      <c r="KG330" s="21"/>
      <c r="KH330" s="21"/>
      <c r="KI330" s="21"/>
      <c r="KJ330" s="21"/>
      <c r="KK330" s="168">
        <v>67790</v>
      </c>
      <c r="KL330" s="168">
        <v>63718</v>
      </c>
      <c r="KM330" s="21"/>
      <c r="KN330" s="21"/>
      <c r="KO330" s="21"/>
      <c r="KP330" s="21"/>
      <c r="KQ330" s="168">
        <v>88239</v>
      </c>
      <c r="KR330" s="168">
        <v>65239</v>
      </c>
      <c r="KS330" s="21"/>
      <c r="KT330" s="21"/>
      <c r="KU330" s="21"/>
      <c r="KV330" s="21"/>
      <c r="KW330" s="21"/>
      <c r="KX330" s="21"/>
      <c r="KY330" s="21"/>
      <c r="KZ330" s="21"/>
      <c r="LA330" s="168">
        <v>45000</v>
      </c>
      <c r="LB330" s="168">
        <v>45000</v>
      </c>
      <c r="LC330" s="21"/>
      <c r="LD330" s="21"/>
      <c r="LE330" s="21"/>
      <c r="LF330" s="21"/>
      <c r="LG330" s="21"/>
      <c r="LH330" s="21"/>
      <c r="LI330" s="168">
        <v>3133634</v>
      </c>
      <c r="LJ330" s="168">
        <v>3144538</v>
      </c>
      <c r="LK330" s="168">
        <v>5040017</v>
      </c>
      <c r="LL330" s="168">
        <v>4993341</v>
      </c>
      <c r="LM330" s="168">
        <v>609</v>
      </c>
      <c r="LN330" s="168">
        <v>2739</v>
      </c>
      <c r="LO330" s="21"/>
      <c r="LP330" s="21"/>
      <c r="LQ330" s="21"/>
      <c r="LR330" s="21"/>
      <c r="LS330" s="21"/>
      <c r="LT330" s="21"/>
      <c r="LU330" s="21"/>
      <c r="LV330" s="21"/>
      <c r="LW330" s="21"/>
      <c r="LX330" s="21"/>
      <c r="LY330" s="21"/>
      <c r="LZ330" s="21"/>
      <c r="MA330" s="168">
        <v>7620727</v>
      </c>
      <c r="MB330" s="168">
        <v>9810790</v>
      </c>
      <c r="MC330" s="168">
        <v>845371</v>
      </c>
      <c r="MD330" s="168">
        <v>859231</v>
      </c>
      <c r="ME330" s="21"/>
      <c r="MF330" s="21"/>
      <c r="MG330" s="21"/>
      <c r="MH330" s="21"/>
      <c r="MI330" s="21"/>
      <c r="MJ330" s="21"/>
      <c r="MK330" s="21"/>
      <c r="ML330" s="21"/>
      <c r="MM330" s="21"/>
      <c r="MN330" s="21"/>
      <c r="MO330" s="21"/>
      <c r="MP330" s="21"/>
      <c r="MQ330" s="21"/>
      <c r="MR330" s="21"/>
      <c r="MS330" s="21"/>
      <c r="MT330" s="21"/>
      <c r="MU330" s="21"/>
      <c r="MV330" s="21"/>
      <c r="MW330" s="168">
        <v>15298679</v>
      </c>
      <c r="MX330" s="168">
        <v>14586326</v>
      </c>
      <c r="MY330" s="21"/>
      <c r="MZ330" s="21"/>
      <c r="NA330" s="21"/>
      <c r="NB330" s="21"/>
      <c r="NC330" s="168">
        <v>2181613</v>
      </c>
      <c r="ND330" s="168">
        <v>2012354</v>
      </c>
      <c r="NE330" s="21"/>
      <c r="NF330" s="21"/>
      <c r="NG330" s="168">
        <v>17525293</v>
      </c>
      <c r="NH330" s="168">
        <v>16643680</v>
      </c>
      <c r="NI330" s="21"/>
      <c r="NJ330" s="21"/>
      <c r="NK330" s="168">
        <v>1806</v>
      </c>
      <c r="NL330" s="168">
        <v>1767</v>
      </c>
      <c r="NM330" s="168">
        <v>16728598</v>
      </c>
      <c r="NN330" s="168">
        <v>18875877</v>
      </c>
      <c r="NO330" s="168">
        <v>34800756</v>
      </c>
      <c r="NP330" s="168">
        <v>35988341</v>
      </c>
      <c r="NQ330" s="168" t="s">
        <v>1328</v>
      </c>
      <c r="NR330" s="168" t="s">
        <v>769</v>
      </c>
      <c r="NS330" s="168" t="s">
        <v>770</v>
      </c>
      <c r="NT330" s="168" t="s">
        <v>771</v>
      </c>
      <c r="NU330" s="168">
        <v>1304</v>
      </c>
      <c r="NV330" s="168" t="s">
        <v>2104</v>
      </c>
      <c r="NW330" s="168" t="s">
        <v>28</v>
      </c>
      <c r="NX330" s="168" t="s">
        <v>25</v>
      </c>
      <c r="NY330" s="169">
        <v>42766</v>
      </c>
      <c r="NZ330" s="169">
        <v>42400</v>
      </c>
      <c r="OA330" s="169">
        <v>43031</v>
      </c>
      <c r="OB330" s="168" t="s">
        <v>1329</v>
      </c>
      <c r="OC330" s="168">
        <v>12</v>
      </c>
      <c r="OD330" s="168" t="s">
        <v>2105</v>
      </c>
      <c r="OE330" s="168" t="s">
        <v>2466</v>
      </c>
      <c r="OF330" s="168" t="s">
        <v>2467</v>
      </c>
      <c r="OG330" s="168" t="s">
        <v>1972</v>
      </c>
      <c r="OH330" s="168" t="s">
        <v>1220</v>
      </c>
      <c r="OI330" s="168" t="s">
        <v>766</v>
      </c>
      <c r="OJ330" s="168" t="s">
        <v>3240</v>
      </c>
      <c r="OK330" s="168" t="s">
        <v>767</v>
      </c>
    </row>
    <row r="331" spans="1:401" x14ac:dyDescent="0.2">
      <c r="A331" s="170" t="str">
        <f>Liste[[#This Row],[Siren]]</f>
        <v>538728924</v>
      </c>
      <c r="B331" s="198" t="str">
        <f>Liste[[#This Row],[Dénomination]]&amp;" - comptes "&amp;YEAR(Liste[[#This Row],[Date de cloture de l''exercice]])</f>
        <v>FANPAG - comptes 2017</v>
      </c>
      <c r="C331" s="21"/>
      <c r="D331" s="21"/>
      <c r="E331" s="21"/>
      <c r="F331" s="168">
        <v>1836750</v>
      </c>
      <c r="G331" s="168">
        <v>2290626</v>
      </c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168">
        <v>2258925</v>
      </c>
      <c r="BE331" s="168">
        <v>1832275</v>
      </c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168">
        <v>8234495</v>
      </c>
      <c r="BY331" s="168">
        <v>8525542</v>
      </c>
      <c r="BZ331" s="21"/>
      <c r="CA331" s="21"/>
      <c r="CB331" s="21"/>
      <c r="CC331" s="21"/>
      <c r="CD331" s="21"/>
      <c r="CE331" s="168">
        <v>8867407</v>
      </c>
      <c r="CF331" s="21"/>
      <c r="CG331" s="21"/>
      <c r="CH331" s="21"/>
      <c r="CI331" s="21"/>
      <c r="CJ331" s="21"/>
      <c r="CK331" s="21"/>
      <c r="CL331" s="21"/>
      <c r="CM331" s="21"/>
      <c r="CN331" s="21"/>
      <c r="CO331" s="21"/>
      <c r="CP331" s="21"/>
      <c r="CQ331" s="21"/>
      <c r="CR331" s="21"/>
      <c r="CS331" s="21"/>
      <c r="CT331" s="21"/>
      <c r="CU331" s="21"/>
      <c r="CV331" s="21"/>
      <c r="CW331" s="21"/>
      <c r="CX331" s="21"/>
      <c r="CY331" s="21"/>
      <c r="CZ331" s="21"/>
      <c r="DA331" s="21"/>
      <c r="DB331" s="21"/>
      <c r="DC331" s="21"/>
      <c r="DD331" s="21"/>
      <c r="DE331" s="21"/>
      <c r="DF331" s="21"/>
      <c r="DG331" s="21"/>
      <c r="DH331" s="21"/>
      <c r="DI331" s="21"/>
      <c r="DJ331" s="21"/>
      <c r="DK331" s="21"/>
      <c r="DL331" s="21"/>
      <c r="DM331" s="21"/>
      <c r="DN331" s="21"/>
      <c r="DO331" s="21"/>
      <c r="DP331" s="21"/>
      <c r="DQ331" s="21"/>
      <c r="DR331" s="21"/>
      <c r="DS331" s="21"/>
      <c r="DT331" s="21"/>
      <c r="DU331" s="21"/>
      <c r="DV331" s="21"/>
      <c r="DW331" s="21"/>
      <c r="DX331" s="21"/>
      <c r="DY331" s="21"/>
      <c r="DZ331" s="21"/>
      <c r="EA331" s="21"/>
      <c r="EB331" s="21"/>
      <c r="EC331" s="21"/>
      <c r="ED331" s="21"/>
      <c r="EE331" s="21"/>
      <c r="EF331" s="21"/>
      <c r="EG331" s="21"/>
      <c r="EH331" s="21"/>
      <c r="EI331" s="21"/>
      <c r="EJ331" s="21"/>
      <c r="EK331" s="21"/>
      <c r="EL331" s="168">
        <v>35032762</v>
      </c>
      <c r="EM331" s="168">
        <v>36620002</v>
      </c>
      <c r="EN331" s="21"/>
      <c r="EO331" s="21"/>
      <c r="EP331" s="168">
        <v>23638007</v>
      </c>
      <c r="EQ331" s="168">
        <v>23725883</v>
      </c>
      <c r="ER331" s="21"/>
      <c r="ES331" s="21"/>
      <c r="ET331" s="168">
        <v>58670769</v>
      </c>
      <c r="EU331" s="168">
        <v>60345885</v>
      </c>
      <c r="EV331" s="21"/>
      <c r="EW331" s="21"/>
      <c r="EX331" s="21"/>
      <c r="EY331" s="21"/>
      <c r="EZ331" s="21"/>
      <c r="FA331" s="21"/>
      <c r="FB331" s="21"/>
      <c r="FC331" s="21"/>
      <c r="FD331" s="21"/>
      <c r="FE331" s="21"/>
      <c r="FF331" s="168">
        <v>3031817</v>
      </c>
      <c r="FG331" s="168">
        <v>2993152</v>
      </c>
      <c r="FH331" s="21"/>
      <c r="FI331" s="168">
        <v>24793</v>
      </c>
      <c r="FJ331" s="168">
        <v>61385</v>
      </c>
      <c r="FK331" s="21"/>
      <c r="FL331" s="21"/>
      <c r="FM331" s="21"/>
      <c r="FN331" s="21"/>
      <c r="FO331" s="21"/>
      <c r="FP331" s="21"/>
      <c r="FQ331" s="168">
        <v>7857</v>
      </c>
      <c r="FR331" s="21"/>
      <c r="FS331" s="21"/>
      <c r="FT331" s="21"/>
      <c r="FU331" s="21"/>
      <c r="FV331" s="21"/>
      <c r="FW331" s="168">
        <v>818738</v>
      </c>
      <c r="FX331" s="168">
        <v>490428</v>
      </c>
      <c r="FY331" s="168">
        <v>42691</v>
      </c>
      <c r="FZ331" s="168">
        <v>38563</v>
      </c>
      <c r="GA331" s="21"/>
      <c r="GB331" s="21"/>
      <c r="GC331" s="21"/>
      <c r="GD331" s="21"/>
      <c r="GE331" s="21"/>
      <c r="GF331" s="21"/>
      <c r="GG331" s="21"/>
      <c r="GH331" s="21"/>
      <c r="GI331" s="21"/>
      <c r="GJ331" s="21"/>
      <c r="GK331" s="21"/>
      <c r="GL331" s="21"/>
      <c r="GM331" s="168">
        <v>2534430</v>
      </c>
      <c r="GN331" s="168">
        <v>2236221</v>
      </c>
      <c r="GO331" s="168">
        <v>2526573</v>
      </c>
      <c r="GP331" s="168">
        <v>2236221</v>
      </c>
      <c r="GQ331" s="21"/>
      <c r="GR331" s="21"/>
      <c r="GS331" s="168">
        <v>2491739</v>
      </c>
      <c r="GT331" s="168">
        <v>2197658</v>
      </c>
      <c r="GU331" s="168">
        <v>203379</v>
      </c>
      <c r="GV331" s="168">
        <v>346364</v>
      </c>
      <c r="GW331" s="168">
        <v>228172</v>
      </c>
      <c r="GX331" s="168">
        <v>407749</v>
      </c>
      <c r="GY331" s="21"/>
      <c r="GZ331" s="21"/>
      <c r="HA331" s="21"/>
      <c r="HB331" s="21"/>
      <c r="HC331" s="168">
        <v>5539576</v>
      </c>
      <c r="HD331" s="168">
        <v>6704566</v>
      </c>
      <c r="HE331" s="21"/>
      <c r="HF331" s="21"/>
      <c r="HG331" s="21"/>
      <c r="HH331" s="21"/>
      <c r="HI331" s="168">
        <v>3297152</v>
      </c>
      <c r="HJ331" s="168">
        <v>2007479</v>
      </c>
      <c r="HK331" s="21"/>
      <c r="HL331" s="21"/>
      <c r="HM331" s="21"/>
      <c r="HN331" s="21"/>
      <c r="HO331" s="21"/>
      <c r="HP331" s="21"/>
      <c r="HQ331" s="21"/>
      <c r="HR331" s="21"/>
      <c r="HS331" s="21"/>
      <c r="HT331" s="21"/>
      <c r="HU331" s="21"/>
      <c r="HV331" s="21"/>
      <c r="HW331" s="21"/>
      <c r="HX331" s="21"/>
      <c r="HY331" s="21"/>
      <c r="HZ331" s="21"/>
      <c r="IA331" s="21"/>
      <c r="IB331" s="21"/>
      <c r="IC331" s="21"/>
      <c r="ID331" s="21"/>
      <c r="IE331" s="168">
        <v>2248769</v>
      </c>
      <c r="IF331" s="168">
        <v>2187152</v>
      </c>
      <c r="IG331" s="21"/>
      <c r="IH331" s="21"/>
      <c r="II331" s="21"/>
      <c r="IJ331" s="21"/>
      <c r="IK331" s="21"/>
      <c r="IL331" s="21"/>
      <c r="IM331" s="21"/>
      <c r="IN331" s="21"/>
      <c r="IO331" s="21"/>
      <c r="IP331" s="21"/>
      <c r="IQ331" s="21"/>
      <c r="IR331" s="21"/>
      <c r="IS331" s="21"/>
      <c r="IT331" s="21"/>
      <c r="IU331" s="168">
        <v>3320518</v>
      </c>
      <c r="IV331" s="168">
        <v>2665264</v>
      </c>
      <c r="IW331" s="168">
        <v>3581694</v>
      </c>
      <c r="IX331" s="168">
        <v>2994216</v>
      </c>
      <c r="IY331" s="168">
        <v>261176</v>
      </c>
      <c r="IZ331" s="168">
        <v>328952</v>
      </c>
      <c r="JA331" s="21"/>
      <c r="JB331" s="21"/>
      <c r="JC331" s="21"/>
      <c r="JD331" s="21"/>
      <c r="JE331" s="168">
        <v>14209448</v>
      </c>
      <c r="JF331" s="168">
        <v>13346169</v>
      </c>
      <c r="JG331" s="21"/>
      <c r="JH331" s="21"/>
      <c r="JI331" s="168">
        <v>121916334</v>
      </c>
      <c r="JJ331" s="168">
        <v>119077539</v>
      </c>
      <c r="JK331" s="168">
        <v>361322</v>
      </c>
      <c r="JL331" s="168">
        <v>471547</v>
      </c>
      <c r="JM331" s="168">
        <v>125498027</v>
      </c>
      <c r="JN331" s="168">
        <v>122071755</v>
      </c>
      <c r="JO331" s="168">
        <v>100146</v>
      </c>
      <c r="JP331" s="168">
        <v>142596</v>
      </c>
      <c r="JQ331" s="21"/>
      <c r="JR331" s="21"/>
      <c r="JS331" s="21"/>
      <c r="JT331" s="21"/>
      <c r="JU331" s="21"/>
      <c r="JV331" s="21"/>
      <c r="JW331" s="168">
        <v>122200875</v>
      </c>
      <c r="JX331" s="168">
        <v>120064276</v>
      </c>
      <c r="JY331" s="21"/>
      <c r="JZ331" s="21"/>
      <c r="KA331" s="21"/>
      <c r="KB331" s="21"/>
      <c r="KC331" s="21"/>
      <c r="KD331" s="21"/>
      <c r="KE331" s="21"/>
      <c r="KF331" s="21"/>
      <c r="KG331" s="21"/>
      <c r="KH331" s="21"/>
      <c r="KI331" s="21"/>
      <c r="KJ331" s="21"/>
      <c r="KK331" s="21"/>
      <c r="KL331" s="21"/>
      <c r="KM331" s="21"/>
      <c r="KN331" s="21"/>
      <c r="KO331" s="21"/>
      <c r="KP331" s="21"/>
      <c r="KQ331" s="21"/>
      <c r="KR331" s="21"/>
      <c r="KS331" s="21"/>
      <c r="KT331" s="21"/>
      <c r="KU331" s="21"/>
      <c r="KV331" s="21"/>
      <c r="KW331" s="21"/>
      <c r="KX331" s="21"/>
      <c r="KY331" s="21"/>
      <c r="KZ331" s="21"/>
      <c r="LA331" s="168">
        <v>40000</v>
      </c>
      <c r="LB331" s="168">
        <v>40000</v>
      </c>
      <c r="LC331" s="21"/>
      <c r="LD331" s="21"/>
      <c r="LE331" s="21"/>
      <c r="LF331" s="21"/>
      <c r="LG331" s="21"/>
      <c r="LH331" s="21"/>
      <c r="LI331" s="21"/>
      <c r="LJ331" s="21"/>
      <c r="LK331" s="168">
        <v>7113747</v>
      </c>
      <c r="LL331" s="168">
        <v>8081259</v>
      </c>
      <c r="LM331" s="21"/>
      <c r="LN331" s="21"/>
      <c r="LO331" s="21"/>
      <c r="LP331" s="21"/>
      <c r="LQ331" s="21"/>
      <c r="LR331" s="21"/>
      <c r="LS331" s="21"/>
      <c r="LT331" s="21"/>
      <c r="LU331" s="21"/>
      <c r="LV331" s="21"/>
      <c r="LW331" s="21"/>
      <c r="LX331" s="21"/>
      <c r="LY331" s="168">
        <v>20624</v>
      </c>
      <c r="LZ331" s="168">
        <v>28481</v>
      </c>
      <c r="MA331" s="21"/>
      <c r="MB331" s="21"/>
      <c r="MC331" s="168">
        <v>32144351</v>
      </c>
      <c r="MD331" s="168">
        <v>35626423</v>
      </c>
      <c r="ME331" s="21"/>
      <c r="MF331" s="21"/>
      <c r="MG331" s="21"/>
      <c r="MH331" s="21"/>
      <c r="MI331" s="21"/>
      <c r="MJ331" s="21"/>
      <c r="MK331" s="21"/>
      <c r="ML331" s="21"/>
      <c r="MM331" s="21"/>
      <c r="MN331" s="21"/>
      <c r="MO331" s="21"/>
      <c r="MP331" s="21"/>
      <c r="MQ331" s="21"/>
      <c r="MR331" s="21"/>
      <c r="MS331" s="21"/>
      <c r="MT331" s="21"/>
      <c r="MU331" s="21"/>
      <c r="MV331" s="21"/>
      <c r="MW331" s="168">
        <v>9126586</v>
      </c>
      <c r="MX331" s="168">
        <v>6928928</v>
      </c>
      <c r="MY331" s="21"/>
      <c r="MZ331" s="21"/>
      <c r="NA331" s="21"/>
      <c r="NB331" s="21"/>
      <c r="NC331" s="168">
        <v>2491739</v>
      </c>
      <c r="ND331" s="168">
        <v>2197658</v>
      </c>
      <c r="NE331" s="21"/>
      <c r="NF331" s="21"/>
      <c r="NG331" s="168">
        <v>11658325</v>
      </c>
      <c r="NH331" s="168">
        <v>9166586</v>
      </c>
      <c r="NI331" s="21"/>
      <c r="NJ331" s="21"/>
      <c r="NK331" s="21"/>
      <c r="NL331" s="21"/>
      <c r="NM331" s="168">
        <v>-45160765</v>
      </c>
      <c r="NN331" s="168">
        <v>49336201</v>
      </c>
      <c r="NO331" s="168">
        <v>58670769</v>
      </c>
      <c r="NP331" s="168">
        <v>60345885</v>
      </c>
      <c r="NQ331" s="168" t="s">
        <v>1095</v>
      </c>
      <c r="NR331" s="168" t="s">
        <v>769</v>
      </c>
      <c r="NS331" s="168" t="s">
        <v>770</v>
      </c>
      <c r="NT331" s="168" t="s">
        <v>771</v>
      </c>
      <c r="NU331" s="168">
        <v>5103</v>
      </c>
      <c r="NV331" s="168" t="s">
        <v>2104</v>
      </c>
      <c r="NW331" s="168" t="s">
        <v>28</v>
      </c>
      <c r="NX331" s="168" t="s">
        <v>25</v>
      </c>
      <c r="NY331" s="169">
        <v>42766</v>
      </c>
      <c r="NZ331" s="169">
        <v>42400</v>
      </c>
      <c r="OA331" s="169">
        <v>43033</v>
      </c>
      <c r="OB331" s="168" t="s">
        <v>1096</v>
      </c>
      <c r="OC331" s="168">
        <v>12</v>
      </c>
      <c r="OD331" s="168" t="s">
        <v>2105</v>
      </c>
      <c r="OE331" s="168" t="s">
        <v>2468</v>
      </c>
      <c r="OF331" s="168" t="s">
        <v>2287</v>
      </c>
      <c r="OG331" s="168" t="s">
        <v>1877</v>
      </c>
      <c r="OH331" s="168" t="s">
        <v>787</v>
      </c>
      <c r="OI331" s="168" t="s">
        <v>766</v>
      </c>
      <c r="OJ331" s="168" t="s">
        <v>3240</v>
      </c>
      <c r="OK331" s="168" t="s">
        <v>767</v>
      </c>
    </row>
    <row r="332" spans="1:401" x14ac:dyDescent="0.2">
      <c r="A332" s="170" t="str">
        <f>Liste[[#This Row],[Siren]]</f>
        <v>055501902</v>
      </c>
      <c r="B332" s="198" t="str">
        <f>Liste[[#This Row],[Dénomination]]&amp;" - comptes "&amp;YEAR(Liste[[#This Row],[Date de cloture de l''exercice]])</f>
        <v>POMA - comptes 2017</v>
      </c>
      <c r="C332" s="21"/>
      <c r="D332" s="21"/>
      <c r="E332" s="21"/>
      <c r="F332" s="168">
        <v>55883000</v>
      </c>
      <c r="G332" s="168">
        <v>69100000</v>
      </c>
      <c r="H332" s="168">
        <v>55883000</v>
      </c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168">
        <v>2068000</v>
      </c>
      <c r="AM332" s="168">
        <v>3906000</v>
      </c>
      <c r="AN332" s="168">
        <v>2068000</v>
      </c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168">
        <v>2946</v>
      </c>
      <c r="BA332" s="168">
        <v>3708</v>
      </c>
      <c r="BB332" s="168">
        <v>2946</v>
      </c>
      <c r="BC332" s="168">
        <v>1636000</v>
      </c>
      <c r="BD332" s="168">
        <v>121786000</v>
      </c>
      <c r="BE332" s="168">
        <v>102350000</v>
      </c>
      <c r="BF332" s="168">
        <v>123422000</v>
      </c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  <c r="BS332" s="21"/>
      <c r="BT332" s="21"/>
      <c r="BU332" s="21"/>
      <c r="BV332" s="21"/>
      <c r="BW332" s="21"/>
      <c r="BX332" s="168">
        <v>32838000</v>
      </c>
      <c r="BY332" s="168">
        <v>19797000</v>
      </c>
      <c r="BZ332" s="168">
        <v>32838000</v>
      </c>
      <c r="CA332" s="21"/>
      <c r="CB332" s="21"/>
      <c r="CC332" s="21"/>
      <c r="CD332" s="168">
        <v>403000</v>
      </c>
      <c r="CE332" s="168">
        <v>4002000</v>
      </c>
      <c r="CF332" s="168">
        <v>172000</v>
      </c>
      <c r="CG332" s="168">
        <v>4405000</v>
      </c>
      <c r="CH332" s="21"/>
      <c r="CI332" s="21"/>
      <c r="CJ332" s="21"/>
      <c r="CK332" s="21"/>
      <c r="CL332" s="21"/>
      <c r="CM332" s="21"/>
      <c r="CN332" s="21"/>
      <c r="CO332" s="21"/>
      <c r="CP332" s="21"/>
      <c r="CQ332" s="21"/>
      <c r="CR332" s="21"/>
      <c r="CS332" s="21"/>
      <c r="CT332" s="21"/>
      <c r="CU332" s="21"/>
      <c r="CV332" s="21"/>
      <c r="CW332" s="21"/>
      <c r="CX332" s="21"/>
      <c r="CY332" s="21"/>
      <c r="CZ332" s="21"/>
      <c r="DA332" s="21"/>
      <c r="DB332" s="21"/>
      <c r="DC332" s="21"/>
      <c r="DD332" s="21"/>
      <c r="DE332" s="21"/>
      <c r="DF332" s="21"/>
      <c r="DG332" s="21"/>
      <c r="DH332" s="21"/>
      <c r="DI332" s="21"/>
      <c r="DJ332" s="21"/>
      <c r="DK332" s="21"/>
      <c r="DL332" s="21"/>
      <c r="DM332" s="21"/>
      <c r="DN332" s="21"/>
      <c r="DO332" s="21"/>
      <c r="DP332" s="21"/>
      <c r="DQ332" s="21"/>
      <c r="DR332" s="21"/>
      <c r="DS332" s="21"/>
      <c r="DT332" s="21"/>
      <c r="DU332" s="21"/>
      <c r="DV332" s="21"/>
      <c r="DW332" s="21"/>
      <c r="DX332" s="21"/>
      <c r="DY332" s="21"/>
      <c r="DZ332" s="21"/>
      <c r="EA332" s="21"/>
      <c r="EB332" s="21"/>
      <c r="EC332" s="21"/>
      <c r="ED332" s="21"/>
      <c r="EE332" s="21"/>
      <c r="EF332" s="21"/>
      <c r="EG332" s="21"/>
      <c r="EH332" s="21"/>
      <c r="EI332" s="21"/>
      <c r="EJ332" s="21"/>
      <c r="EK332" s="168">
        <v>37925000</v>
      </c>
      <c r="EL332" s="168">
        <v>53486000</v>
      </c>
      <c r="EM332" s="168">
        <v>36147000</v>
      </c>
      <c r="EN332" s="168">
        <v>91411000</v>
      </c>
      <c r="EO332" s="168">
        <v>16229000</v>
      </c>
      <c r="EP332" s="168">
        <v>287301000</v>
      </c>
      <c r="EQ332" s="168">
        <v>262618000</v>
      </c>
      <c r="ER332" s="168">
        <v>303530000</v>
      </c>
      <c r="ES332" s="168">
        <v>54154000</v>
      </c>
      <c r="ET332" s="168">
        <v>340787000</v>
      </c>
      <c r="EU332" s="168">
        <v>298764390</v>
      </c>
      <c r="EV332" s="168">
        <v>394941000</v>
      </c>
      <c r="EW332" s="21"/>
      <c r="EX332" s="21"/>
      <c r="EY332" s="21"/>
      <c r="EZ332" s="21"/>
      <c r="FA332" s="21"/>
      <c r="FB332" s="168">
        <v>164000</v>
      </c>
      <c r="FC332" s="168">
        <v>1229000</v>
      </c>
      <c r="FD332" s="168">
        <v>164000</v>
      </c>
      <c r="FE332" s="21"/>
      <c r="FF332" s="168">
        <v>1492000</v>
      </c>
      <c r="FG332" s="168">
        <v>2021000</v>
      </c>
      <c r="FH332" s="168">
        <v>1492000</v>
      </c>
      <c r="FI332" s="168">
        <v>-214000</v>
      </c>
      <c r="FJ332" s="168">
        <v>453000</v>
      </c>
      <c r="FK332" s="168">
        <v>22917</v>
      </c>
      <c r="FL332" s="168">
        <v>16075</v>
      </c>
      <c r="FM332" s="21"/>
      <c r="FN332" s="21"/>
      <c r="FO332" s="21"/>
      <c r="FP332" s="21"/>
      <c r="FQ332" s="168">
        <v>22000</v>
      </c>
      <c r="FR332" s="168">
        <v>22000</v>
      </c>
      <c r="FS332" s="21"/>
      <c r="FT332" s="21"/>
      <c r="FU332" s="168">
        <v>-352000</v>
      </c>
      <c r="FV332" s="168">
        <v>292000</v>
      </c>
      <c r="FW332" s="168">
        <v>8530000</v>
      </c>
      <c r="FX332" s="168">
        <v>5722000</v>
      </c>
      <c r="FY332" s="168">
        <v>32000</v>
      </c>
      <c r="FZ332" s="168">
        <v>28000</v>
      </c>
      <c r="GA332" s="21"/>
      <c r="GB332" s="21"/>
      <c r="GC332" s="21"/>
      <c r="GD332" s="21"/>
      <c r="GE332" s="21"/>
      <c r="GF332" s="21"/>
      <c r="GG332" s="21"/>
      <c r="GH332" s="21"/>
      <c r="GI332" s="21"/>
      <c r="GJ332" s="21"/>
      <c r="GK332" s="21"/>
      <c r="GL332" s="21"/>
      <c r="GM332" s="168">
        <v>22895000</v>
      </c>
      <c r="GN332" s="168">
        <v>16053000</v>
      </c>
      <c r="GO332" s="21"/>
      <c r="GP332" s="21"/>
      <c r="GQ332" s="21"/>
      <c r="GR332" s="21"/>
      <c r="GS332" s="168">
        <v>22863000</v>
      </c>
      <c r="GT332" s="168">
        <v>16025000</v>
      </c>
      <c r="GU332" s="168">
        <v>2994000</v>
      </c>
      <c r="GV332" s="168">
        <v>2749000</v>
      </c>
      <c r="GW332" s="168">
        <v>2780000</v>
      </c>
      <c r="GX332" s="168">
        <v>3203000</v>
      </c>
      <c r="GY332" s="21"/>
      <c r="GZ332" s="21"/>
      <c r="HA332" s="21"/>
      <c r="HB332" s="21"/>
      <c r="HC332" s="21"/>
      <c r="HD332" s="21"/>
      <c r="HE332" s="21"/>
      <c r="HF332" s="21"/>
      <c r="HG332" s="21"/>
      <c r="HH332" s="21"/>
      <c r="HI332" s="168">
        <v>4695000</v>
      </c>
      <c r="HJ332" s="168">
        <v>5238000</v>
      </c>
      <c r="HK332" s="21"/>
      <c r="HL332" s="21"/>
      <c r="HM332" s="21"/>
      <c r="HN332" s="21"/>
      <c r="HO332" s="21"/>
      <c r="HP332" s="21"/>
      <c r="HQ332" s="21"/>
      <c r="HR332" s="21"/>
      <c r="HS332" s="21"/>
      <c r="HT332" s="21"/>
      <c r="HU332" s="21"/>
      <c r="HV332" s="21"/>
      <c r="HW332" s="21"/>
      <c r="HX332" s="21"/>
      <c r="HY332" s="21"/>
      <c r="HZ332" s="21"/>
      <c r="IA332" s="21"/>
      <c r="IB332" s="21"/>
      <c r="IC332" s="21"/>
      <c r="ID332" s="21"/>
      <c r="IE332" s="168">
        <v>4122000</v>
      </c>
      <c r="IF332" s="168">
        <v>3454000</v>
      </c>
      <c r="IG332" s="21"/>
      <c r="IH332" s="21"/>
      <c r="II332" s="21"/>
      <c r="IJ332" s="21"/>
      <c r="IK332" s="21"/>
      <c r="IL332" s="21"/>
      <c r="IM332" s="168">
        <v>3047000</v>
      </c>
      <c r="IN332" s="168">
        <v>-3859000</v>
      </c>
      <c r="IO332" s="21"/>
      <c r="IP332" s="21"/>
      <c r="IQ332" s="21"/>
      <c r="IR332" s="21"/>
      <c r="IS332" s="21"/>
      <c r="IT332" s="21"/>
      <c r="IU332" s="168">
        <v>31287000</v>
      </c>
      <c r="IV332" s="168">
        <v>21743000</v>
      </c>
      <c r="IW332" s="168">
        <v>30534000</v>
      </c>
      <c r="IX332" s="168">
        <v>21084000</v>
      </c>
      <c r="IY332" s="168">
        <v>752000</v>
      </c>
      <c r="IZ332" s="168">
        <v>659000</v>
      </c>
      <c r="JA332" s="168">
        <v>3008000</v>
      </c>
      <c r="JB332" s="168">
        <v>10193000</v>
      </c>
      <c r="JC332" s="21"/>
      <c r="JD332" s="21"/>
      <c r="JE332" s="21"/>
      <c r="JF332" s="21"/>
      <c r="JG332" s="21"/>
      <c r="JH332" s="21"/>
      <c r="JI332" s="168">
        <v>323373000</v>
      </c>
      <c r="JJ332" s="168">
        <v>277351000</v>
      </c>
      <c r="JK332" s="168">
        <v>3210000</v>
      </c>
      <c r="JL332" s="168">
        <v>3400000</v>
      </c>
      <c r="JM332" s="168">
        <v>353907000</v>
      </c>
      <c r="JN332" s="168">
        <v>298435000</v>
      </c>
      <c r="JO332" s="168">
        <v>3962000</v>
      </c>
      <c r="JP332" s="168">
        <v>4059000</v>
      </c>
      <c r="JQ332" s="21"/>
      <c r="JR332" s="21"/>
      <c r="JS332" s="21"/>
      <c r="JT332" s="21"/>
      <c r="JU332" s="21"/>
      <c r="JV332" s="21"/>
      <c r="JW332" s="168">
        <v>343156000</v>
      </c>
      <c r="JX332" s="168">
        <v>286863000</v>
      </c>
      <c r="JY332" s="21"/>
      <c r="JZ332" s="21"/>
      <c r="KA332" s="21"/>
      <c r="KB332" s="21"/>
      <c r="KC332" s="21"/>
      <c r="KD332" s="21"/>
      <c r="KE332" s="21"/>
      <c r="KF332" s="21"/>
      <c r="KG332" s="21"/>
      <c r="KH332" s="21"/>
      <c r="KI332" s="21"/>
      <c r="KJ332" s="21"/>
      <c r="KK332" s="21"/>
      <c r="KL332" s="21"/>
      <c r="KM332" s="21"/>
      <c r="KN332" s="21"/>
      <c r="KO332" s="21"/>
      <c r="KP332" s="21"/>
      <c r="KQ332" s="168">
        <v>29987000</v>
      </c>
      <c r="KR332" s="168">
        <v>27836000</v>
      </c>
      <c r="KS332" s="21"/>
      <c r="KT332" s="21"/>
      <c r="KU332" s="21"/>
      <c r="KV332" s="21"/>
      <c r="KW332" s="21"/>
      <c r="KX332" s="21"/>
      <c r="KY332" s="168">
        <v>41534000</v>
      </c>
      <c r="KZ332" s="168">
        <v>29239000</v>
      </c>
      <c r="LA332" s="168">
        <v>2000000</v>
      </c>
      <c r="LB332" s="168">
        <v>2000000</v>
      </c>
      <c r="LC332" s="168">
        <v>69000</v>
      </c>
      <c r="LD332" s="168">
        <v>51000</v>
      </c>
      <c r="LE332" s="168">
        <v>32000</v>
      </c>
      <c r="LF332" s="168">
        <v>28000</v>
      </c>
      <c r="LG332" s="21"/>
      <c r="LH332" s="21"/>
      <c r="LI332" s="21"/>
      <c r="LJ332" s="21"/>
      <c r="LK332" s="168">
        <v>54690000</v>
      </c>
      <c r="LL332" s="168">
        <v>39888000</v>
      </c>
      <c r="LM332" s="21"/>
      <c r="LN332" s="21"/>
      <c r="LO332" s="21"/>
      <c r="LP332" s="21"/>
      <c r="LQ332" s="21"/>
      <c r="LR332" s="21"/>
      <c r="LS332" s="21"/>
      <c r="LT332" s="21"/>
      <c r="LU332" s="168">
        <v>9522000</v>
      </c>
      <c r="LV332" s="168">
        <v>8083000</v>
      </c>
      <c r="LW332" s="168">
        <v>298000</v>
      </c>
      <c r="LX332" s="168">
        <v>298000</v>
      </c>
      <c r="LY332" s="21"/>
      <c r="LZ332" s="21"/>
      <c r="MA332" s="21"/>
      <c r="MB332" s="21"/>
      <c r="MC332" s="168">
        <v>38582000</v>
      </c>
      <c r="MD332" s="168">
        <v>31958000</v>
      </c>
      <c r="ME332" s="21"/>
      <c r="MF332" s="21"/>
      <c r="MG332" s="168">
        <v>3211000</v>
      </c>
      <c r="MH332" s="168">
        <v>3342000</v>
      </c>
      <c r="MI332" s="21"/>
      <c r="MJ332" s="21"/>
      <c r="MK332" s="21"/>
      <c r="ML332" s="21"/>
      <c r="MM332" s="168">
        <v>2431000</v>
      </c>
      <c r="MN332" s="168">
        <v>3586000</v>
      </c>
      <c r="MO332" s="21"/>
      <c r="MP332" s="21"/>
      <c r="MQ332" s="21"/>
      <c r="MR332" s="21"/>
      <c r="MS332" s="21"/>
      <c r="MT332" s="21"/>
      <c r="MU332" s="21"/>
      <c r="MV332" s="21"/>
      <c r="MW332" s="21"/>
      <c r="MX332" s="21"/>
      <c r="MY332" s="21"/>
      <c r="MZ332" s="21"/>
      <c r="NA332" s="21"/>
      <c r="NB332" s="21"/>
      <c r="NC332" s="168">
        <v>22863000</v>
      </c>
      <c r="ND332" s="168">
        <v>16025000</v>
      </c>
      <c r="NE332" s="21"/>
      <c r="NF332" s="21"/>
      <c r="NG332" s="168">
        <v>154435000</v>
      </c>
      <c r="NH332" s="168">
        <v>149922000</v>
      </c>
      <c r="NI332" s="21"/>
      <c r="NJ332" s="21"/>
      <c r="NK332" s="168">
        <v>3312000</v>
      </c>
      <c r="NL332" s="168">
        <v>3421000</v>
      </c>
      <c r="NM332" s="168">
        <v>170435000</v>
      </c>
      <c r="NN332" s="168">
        <v>135849000</v>
      </c>
      <c r="NO332" s="168">
        <v>340787000</v>
      </c>
      <c r="NP332" s="168">
        <v>298764000</v>
      </c>
      <c r="NQ332" s="168" t="s">
        <v>1494</v>
      </c>
      <c r="NR332" s="168" t="s">
        <v>1174</v>
      </c>
      <c r="NS332" s="168" t="s">
        <v>770</v>
      </c>
      <c r="NT332" s="168" t="s">
        <v>771</v>
      </c>
      <c r="NU332" s="168">
        <v>3801</v>
      </c>
      <c r="NV332" s="168" t="s">
        <v>2104</v>
      </c>
      <c r="NW332" s="168" t="s">
        <v>28</v>
      </c>
      <c r="NX332" s="168" t="s">
        <v>25</v>
      </c>
      <c r="NY332" s="169">
        <v>42766</v>
      </c>
      <c r="NZ332" s="21"/>
      <c r="OA332" s="169">
        <v>42940</v>
      </c>
      <c r="OB332" s="168" t="s">
        <v>1495</v>
      </c>
      <c r="OC332" s="168">
        <v>0</v>
      </c>
      <c r="OD332" s="168" t="s">
        <v>2105</v>
      </c>
      <c r="OE332" s="168" t="s">
        <v>1496</v>
      </c>
      <c r="OF332" s="168" t="s">
        <v>2591</v>
      </c>
      <c r="OG332" s="168" t="s">
        <v>2053</v>
      </c>
      <c r="OH332" s="168" t="s">
        <v>833</v>
      </c>
      <c r="OI332" s="168" t="s">
        <v>766</v>
      </c>
      <c r="OJ332" s="168" t="s">
        <v>3240</v>
      </c>
      <c r="OK332" s="168" t="s">
        <v>1173</v>
      </c>
    </row>
    <row r="333" spans="1:401" x14ac:dyDescent="0.2">
      <c r="A333" s="170" t="str">
        <f>Liste[[#This Row],[Siren]]</f>
        <v>508775384</v>
      </c>
      <c r="B333" s="198" t="str">
        <f>Liste[[#This Row],[Dénomination]]&amp;" - comptes "&amp;YEAR(Liste[[#This Row],[Date de cloture de l''exercice]])</f>
        <v>LTMO - comptes 2017</v>
      </c>
      <c r="C333" s="21"/>
      <c r="D333" s="21"/>
      <c r="E333" s="21"/>
      <c r="F333" s="168">
        <v>4866976</v>
      </c>
      <c r="G333" s="168">
        <v>3922354</v>
      </c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168">
        <v>284658</v>
      </c>
      <c r="BE333" s="168">
        <v>262326</v>
      </c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/>
      <c r="BT333" s="21"/>
      <c r="BU333" s="21"/>
      <c r="BV333" s="21"/>
      <c r="BW333" s="21"/>
      <c r="BX333" s="168">
        <v>1284925</v>
      </c>
      <c r="BY333" s="168">
        <v>2088510</v>
      </c>
      <c r="BZ333" s="21"/>
      <c r="CA333" s="21"/>
      <c r="CB333" s="21"/>
      <c r="CC333" s="21"/>
      <c r="CD333" s="21"/>
      <c r="CE333" s="168">
        <v>7582192</v>
      </c>
      <c r="CF333" s="168">
        <v>7582192</v>
      </c>
      <c r="CG333" s="21"/>
      <c r="CH333" s="21"/>
      <c r="CI333" s="21"/>
      <c r="CJ333" s="21"/>
      <c r="CK333" s="21"/>
      <c r="CL333" s="21"/>
      <c r="CM333" s="21"/>
      <c r="CN333" s="21"/>
      <c r="CO333" s="21"/>
      <c r="CP333" s="21"/>
      <c r="CQ333" s="21"/>
      <c r="CR333" s="21"/>
      <c r="CS333" s="21"/>
      <c r="CT333" s="21"/>
      <c r="CU333" s="21"/>
      <c r="CV333" s="21"/>
      <c r="CW333" s="21"/>
      <c r="CX333" s="21"/>
      <c r="CY333" s="21"/>
      <c r="CZ333" s="21"/>
      <c r="DA333" s="21"/>
      <c r="DB333" s="21"/>
      <c r="DC333" s="21"/>
      <c r="DD333" s="21"/>
      <c r="DE333" s="21"/>
      <c r="DF333" s="21"/>
      <c r="DG333" s="21"/>
      <c r="DH333" s="21"/>
      <c r="DI333" s="21"/>
      <c r="DJ333" s="21"/>
      <c r="DK333" s="21"/>
      <c r="DL333" s="21"/>
      <c r="DM333" s="21"/>
      <c r="DN333" s="21"/>
      <c r="DO333" s="21"/>
      <c r="DP333" s="21"/>
      <c r="DQ333" s="21"/>
      <c r="DR333" s="21"/>
      <c r="DS333" s="21"/>
      <c r="DT333" s="21"/>
      <c r="DU333" s="21"/>
      <c r="DV333" s="21"/>
      <c r="DW333" s="21"/>
      <c r="DX333" s="21"/>
      <c r="DY333" s="21"/>
      <c r="DZ333" s="21"/>
      <c r="EA333" s="21"/>
      <c r="EB333" s="21"/>
      <c r="EC333" s="21"/>
      <c r="ED333" s="21"/>
      <c r="EE333" s="21"/>
      <c r="EF333" s="21"/>
      <c r="EG333" s="21"/>
      <c r="EH333" s="21"/>
      <c r="EI333" s="21"/>
      <c r="EJ333" s="21"/>
      <c r="EK333" s="21"/>
      <c r="EL333" s="168">
        <v>32144520</v>
      </c>
      <c r="EM333" s="168">
        <v>33137638</v>
      </c>
      <c r="EN333" s="21"/>
      <c r="EO333" s="21"/>
      <c r="EP333" s="168">
        <v>26763617</v>
      </c>
      <c r="EQ333" s="168">
        <v>23206939</v>
      </c>
      <c r="ER333" s="21"/>
      <c r="ES333" s="21"/>
      <c r="ET333" s="168">
        <v>58908137</v>
      </c>
      <c r="EU333" s="168">
        <v>56344577</v>
      </c>
      <c r="EV333" s="21"/>
      <c r="EW333" s="21"/>
      <c r="EX333" s="21"/>
      <c r="EY333" s="21"/>
      <c r="EZ333" s="21"/>
      <c r="FA333" s="21"/>
      <c r="FB333" s="21"/>
      <c r="FC333" s="21"/>
      <c r="FD333" s="21"/>
      <c r="FE333" s="21"/>
      <c r="FF333" s="168">
        <v>5599616</v>
      </c>
      <c r="FG333" s="168">
        <v>4599616</v>
      </c>
      <c r="FH333" s="21"/>
      <c r="FI333" s="168">
        <v>715002</v>
      </c>
      <c r="FJ333" s="168">
        <v>97255</v>
      </c>
      <c r="FK333" s="21"/>
      <c r="FL333" s="21"/>
      <c r="FM333" s="21"/>
      <c r="FN333" s="21"/>
      <c r="FO333" s="21"/>
      <c r="FP333" s="21"/>
      <c r="FQ333" s="21"/>
      <c r="FR333" s="168">
        <v>382639</v>
      </c>
      <c r="FS333" s="21"/>
      <c r="FT333" s="21"/>
      <c r="FU333" s="21"/>
      <c r="FV333" s="21"/>
      <c r="FW333" s="168">
        <v>281276</v>
      </c>
      <c r="FX333" s="168">
        <v>429272</v>
      </c>
      <c r="FY333" s="168">
        <v>41857</v>
      </c>
      <c r="FZ333" s="168">
        <v>44431</v>
      </c>
      <c r="GA333" s="21"/>
      <c r="GB333" s="21"/>
      <c r="GC333" s="21"/>
      <c r="GD333" s="21"/>
      <c r="GE333" s="21"/>
      <c r="GF333" s="21"/>
      <c r="GG333" s="21"/>
      <c r="GH333" s="21"/>
      <c r="GI333" s="21"/>
      <c r="GJ333" s="21"/>
      <c r="GK333" s="21"/>
      <c r="GL333" s="21"/>
      <c r="GM333" s="168">
        <v>1030360</v>
      </c>
      <c r="GN333" s="168">
        <v>1910966</v>
      </c>
      <c r="GO333" s="168">
        <v>1030360</v>
      </c>
      <c r="GP333" s="168">
        <v>2293605</v>
      </c>
      <c r="GQ333" s="21"/>
      <c r="GR333" s="21"/>
      <c r="GS333" s="168">
        <v>8988503</v>
      </c>
      <c r="GT333" s="168">
        <v>1866535</v>
      </c>
      <c r="GU333" s="21"/>
      <c r="GV333" s="21"/>
      <c r="GW333" s="21"/>
      <c r="GX333" s="21"/>
      <c r="GY333" s="21"/>
      <c r="GZ333" s="21"/>
      <c r="HA333" s="21"/>
      <c r="HB333" s="21"/>
      <c r="HC333" s="21"/>
      <c r="HD333" s="21"/>
      <c r="HE333" s="168">
        <v>142899</v>
      </c>
      <c r="HF333" s="168">
        <v>40612</v>
      </c>
      <c r="HG333" s="21"/>
      <c r="HH333" s="21"/>
      <c r="HI333" s="168">
        <v>722590</v>
      </c>
      <c r="HJ333" s="168">
        <v>789812</v>
      </c>
      <c r="HK333" s="21"/>
      <c r="HL333" s="21"/>
      <c r="HM333" s="21"/>
      <c r="HN333" s="21"/>
      <c r="HO333" s="21"/>
      <c r="HP333" s="21"/>
      <c r="HQ333" s="21"/>
      <c r="HR333" s="21"/>
      <c r="HS333" s="21"/>
      <c r="HT333" s="21"/>
      <c r="HU333" s="21"/>
      <c r="HV333" s="21"/>
      <c r="HW333" s="21"/>
      <c r="HX333" s="21"/>
      <c r="HY333" s="21"/>
      <c r="HZ333" s="21"/>
      <c r="IA333" s="21"/>
      <c r="IB333" s="21"/>
      <c r="IC333" s="21"/>
      <c r="ID333" s="21"/>
      <c r="IE333" s="168">
        <v>1731981</v>
      </c>
      <c r="IF333" s="168">
        <v>1736821</v>
      </c>
      <c r="IG333" s="21"/>
      <c r="IH333" s="21"/>
      <c r="II333" s="21"/>
      <c r="IJ333" s="21"/>
      <c r="IK333" s="21"/>
      <c r="IL333" s="21"/>
      <c r="IM333" s="21"/>
      <c r="IN333" s="21"/>
      <c r="IO333" s="21"/>
      <c r="IP333" s="21"/>
      <c r="IQ333" s="21"/>
      <c r="IR333" s="21"/>
      <c r="IS333" s="21"/>
      <c r="IT333" s="21"/>
      <c r="IU333" s="168">
        <v>2026638</v>
      </c>
      <c r="IV333" s="168">
        <v>2820132</v>
      </c>
      <c r="IW333" s="168">
        <v>2370017</v>
      </c>
      <c r="IX333" s="168">
        <v>3202324</v>
      </c>
      <c r="IY333" s="168">
        <v>343597</v>
      </c>
      <c r="IZ333" s="168">
        <v>382192</v>
      </c>
      <c r="JA333" s="21"/>
      <c r="JB333" s="21"/>
      <c r="JC333" s="21"/>
      <c r="JD333" s="21"/>
      <c r="JE333" s="168">
        <v>10438970</v>
      </c>
      <c r="JF333" s="168">
        <v>10226167</v>
      </c>
      <c r="JG333" s="21"/>
      <c r="JH333" s="21"/>
      <c r="JI333" s="168">
        <v>95617110</v>
      </c>
      <c r="JJ333" s="168">
        <v>95582007</v>
      </c>
      <c r="JK333" s="168">
        <v>441971</v>
      </c>
      <c r="JL333" s="168">
        <v>482111</v>
      </c>
      <c r="JM333" s="168">
        <v>97987127</v>
      </c>
      <c r="JN333" s="168">
        <v>98784331</v>
      </c>
      <c r="JO333" s="168">
        <v>98374</v>
      </c>
      <c r="JP333" s="168">
        <v>99919</v>
      </c>
      <c r="JQ333" s="21"/>
      <c r="JR333" s="21"/>
      <c r="JS333" s="21"/>
      <c r="JT333" s="21"/>
      <c r="JU333" s="21"/>
      <c r="JV333" s="21"/>
      <c r="JW333" s="168">
        <v>97264537</v>
      </c>
      <c r="JX333" s="168">
        <v>97994519</v>
      </c>
      <c r="JY333" s="21"/>
      <c r="JZ333" s="21"/>
      <c r="KA333" s="21"/>
      <c r="KB333" s="21"/>
      <c r="KC333" s="21"/>
      <c r="KD333" s="21"/>
      <c r="KE333" s="21"/>
      <c r="KF333" s="21"/>
      <c r="KG333" s="21"/>
      <c r="KH333" s="21"/>
      <c r="KI333" s="21"/>
      <c r="KJ333" s="21"/>
      <c r="KK333" s="21"/>
      <c r="KL333" s="21"/>
      <c r="KM333" s="21"/>
      <c r="KN333" s="21"/>
      <c r="KO333" s="21"/>
      <c r="KP333" s="21"/>
      <c r="KQ333" s="168">
        <v>4181120</v>
      </c>
      <c r="KR333" s="168">
        <v>4086861</v>
      </c>
      <c r="KS333" s="21"/>
      <c r="KT333" s="21"/>
      <c r="KU333" s="21"/>
      <c r="KV333" s="21"/>
      <c r="KW333" s="21"/>
      <c r="KX333" s="21"/>
      <c r="KY333" s="21"/>
      <c r="KZ333" s="21"/>
      <c r="LA333" s="168">
        <v>3037000</v>
      </c>
      <c r="LB333" s="168">
        <v>3037000</v>
      </c>
      <c r="LC333" s="21"/>
      <c r="LD333" s="21"/>
      <c r="LE333" s="21"/>
      <c r="LF333" s="21"/>
      <c r="LG333" s="21"/>
      <c r="LH333" s="21"/>
      <c r="LI333" s="21"/>
      <c r="LJ333" s="21"/>
      <c r="LK333" s="168">
        <v>7771667</v>
      </c>
      <c r="LL333" s="168">
        <v>8067550</v>
      </c>
      <c r="LM333" s="21"/>
      <c r="LN333" s="21"/>
      <c r="LO333" s="21"/>
      <c r="LP333" s="21"/>
      <c r="LQ333" s="21"/>
      <c r="LR333" s="21"/>
      <c r="LS333" s="21"/>
      <c r="LT333" s="21"/>
      <c r="LU333" s="21"/>
      <c r="LV333" s="21"/>
      <c r="LW333" s="21"/>
      <c r="LX333" s="21"/>
      <c r="LY333" s="21"/>
      <c r="LZ333" s="21"/>
      <c r="MA333" s="21"/>
      <c r="MB333" s="21"/>
      <c r="MC333" s="168">
        <v>36362771</v>
      </c>
      <c r="MD333" s="168">
        <v>33782657</v>
      </c>
      <c r="ME333" s="21"/>
      <c r="MF333" s="21"/>
      <c r="MG333" s="21"/>
      <c r="MH333" s="21"/>
      <c r="MI333" s="21"/>
      <c r="MJ333" s="21"/>
      <c r="MK333" s="21"/>
      <c r="ML333" s="21"/>
      <c r="MM333" s="21"/>
      <c r="MN333" s="21"/>
      <c r="MO333" s="21"/>
      <c r="MP333" s="21"/>
      <c r="MQ333" s="21"/>
      <c r="MR333" s="21"/>
      <c r="MS333" s="21"/>
      <c r="MT333" s="21"/>
      <c r="MU333" s="21"/>
      <c r="MV333" s="21"/>
      <c r="MW333" s="21"/>
      <c r="MX333" s="21"/>
      <c r="MY333" s="21"/>
      <c r="MZ333" s="21"/>
      <c r="NA333" s="21"/>
      <c r="NB333" s="21"/>
      <c r="NC333" s="168">
        <v>988503</v>
      </c>
      <c r="ND333" s="168">
        <v>1866535</v>
      </c>
      <c r="NE333" s="21"/>
      <c r="NF333" s="21"/>
      <c r="NG333" s="168">
        <v>9936761</v>
      </c>
      <c r="NH333" s="168">
        <v>9549585</v>
      </c>
      <c r="NI333" s="21"/>
      <c r="NJ333" s="21"/>
      <c r="NK333" s="21"/>
      <c r="NL333" s="21"/>
      <c r="NM333" s="168">
        <v>48315558</v>
      </c>
      <c r="NN333" s="168">
        <v>45937068</v>
      </c>
      <c r="NO333" s="168">
        <v>58908137</v>
      </c>
      <c r="NP333" s="168">
        <v>56344577</v>
      </c>
      <c r="NQ333" s="168" t="s">
        <v>1128</v>
      </c>
      <c r="NR333" s="168" t="s">
        <v>769</v>
      </c>
      <c r="NS333" s="168" t="s">
        <v>770</v>
      </c>
      <c r="NT333" s="168" t="s">
        <v>771</v>
      </c>
      <c r="NU333" s="168">
        <v>3102</v>
      </c>
      <c r="NV333" s="168" t="s">
        <v>2104</v>
      </c>
      <c r="NW333" s="168" t="s">
        <v>28</v>
      </c>
      <c r="NX333" s="168" t="s">
        <v>25</v>
      </c>
      <c r="NY333" s="169">
        <v>42766</v>
      </c>
      <c r="NZ333" s="169">
        <v>42400</v>
      </c>
      <c r="OA333" s="169">
        <v>43012</v>
      </c>
      <c r="OB333" s="168" t="s">
        <v>1129</v>
      </c>
      <c r="OC333" s="168">
        <v>12</v>
      </c>
      <c r="OD333" s="168" t="s">
        <v>2105</v>
      </c>
      <c r="OE333" s="168" t="s">
        <v>1130</v>
      </c>
      <c r="OF333" s="168" t="s">
        <v>2316</v>
      </c>
      <c r="OG333" s="168" t="s">
        <v>1892</v>
      </c>
      <c r="OH333" s="168" t="s">
        <v>869</v>
      </c>
      <c r="OI333" s="168" t="s">
        <v>766</v>
      </c>
      <c r="OJ333" s="168" t="s">
        <v>3240</v>
      </c>
      <c r="OK333" s="168" t="s">
        <v>767</v>
      </c>
    </row>
    <row r="334" spans="1:401" x14ac:dyDescent="0.2">
      <c r="A334" s="170" t="str">
        <f>Liste[[#This Row],[Siren]]</f>
        <v>513033662</v>
      </c>
      <c r="B334" s="198" t="str">
        <f>Liste[[#This Row],[Dénomination]]&amp;" - comptes "&amp;YEAR(Liste[[#This Row],[Date de cloture de l''exercice]])</f>
        <v>HS2 - comptes 2017</v>
      </c>
      <c r="C334" s="21"/>
      <c r="D334" s="21"/>
      <c r="E334" s="21"/>
      <c r="F334" s="168">
        <v>11864000</v>
      </c>
      <c r="G334" s="168">
        <v>11914000</v>
      </c>
      <c r="H334" s="168">
        <v>11864000</v>
      </c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168">
        <v>-4000</v>
      </c>
      <c r="BD334" s="168">
        <v>945000</v>
      </c>
      <c r="BE334" s="168">
        <v>420000</v>
      </c>
      <c r="BF334" s="168">
        <v>949000</v>
      </c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1"/>
      <c r="BU334" s="21"/>
      <c r="BV334" s="21"/>
      <c r="BW334" s="21"/>
      <c r="BX334" s="168">
        <v>1611000</v>
      </c>
      <c r="BY334" s="168">
        <v>2847000</v>
      </c>
      <c r="BZ334" s="168">
        <v>1611000</v>
      </c>
      <c r="CA334" s="21"/>
      <c r="CB334" s="21"/>
      <c r="CC334" s="21"/>
      <c r="CD334" s="168">
        <v>-2702000</v>
      </c>
      <c r="CE334" s="168">
        <v>4055000</v>
      </c>
      <c r="CF334" s="168">
        <v>4393000</v>
      </c>
      <c r="CG334" s="168">
        <v>6757000</v>
      </c>
      <c r="CH334" s="21"/>
      <c r="CI334" s="21"/>
      <c r="CJ334" s="21"/>
      <c r="CK334" s="21"/>
      <c r="CL334" s="21"/>
      <c r="CM334" s="21"/>
      <c r="CN334" s="21"/>
      <c r="CO334" s="21"/>
      <c r="CP334" s="21"/>
      <c r="CQ334" s="21"/>
      <c r="CR334" s="21"/>
      <c r="CS334" s="21"/>
      <c r="CT334" s="21"/>
      <c r="CU334" s="21"/>
      <c r="CV334" s="21"/>
      <c r="CW334" s="21"/>
      <c r="CX334" s="21"/>
      <c r="CY334" s="21"/>
      <c r="CZ334" s="21"/>
      <c r="DA334" s="21"/>
      <c r="DB334" s="21"/>
      <c r="DC334" s="21"/>
      <c r="DD334" s="21"/>
      <c r="DE334" s="21"/>
      <c r="DF334" s="21"/>
      <c r="DG334" s="21"/>
      <c r="DH334" s="21"/>
      <c r="DI334" s="21"/>
      <c r="DJ334" s="21"/>
      <c r="DK334" s="21"/>
      <c r="DL334" s="21"/>
      <c r="DM334" s="21"/>
      <c r="DN334" s="21"/>
      <c r="DO334" s="21"/>
      <c r="DP334" s="21"/>
      <c r="DQ334" s="21"/>
      <c r="DR334" s="21"/>
      <c r="DS334" s="21"/>
      <c r="DT334" s="21"/>
      <c r="DU334" s="21"/>
      <c r="DV334" s="21"/>
      <c r="DW334" s="21"/>
      <c r="DX334" s="21"/>
      <c r="DY334" s="21"/>
      <c r="DZ334" s="21"/>
      <c r="EA334" s="21"/>
      <c r="EB334" s="21"/>
      <c r="EC334" s="21"/>
      <c r="ED334" s="21"/>
      <c r="EE334" s="21"/>
      <c r="EF334" s="21"/>
      <c r="EG334" s="21"/>
      <c r="EH334" s="21"/>
      <c r="EI334" s="21"/>
      <c r="EJ334" s="21"/>
      <c r="EK334" s="168">
        <v>-8463000</v>
      </c>
      <c r="EL334" s="168">
        <v>52765000</v>
      </c>
      <c r="EM334" s="168">
        <v>53026000</v>
      </c>
      <c r="EN334" s="168">
        <v>61228000</v>
      </c>
      <c r="EO334" s="21"/>
      <c r="EP334" s="21"/>
      <c r="EQ334" s="21"/>
      <c r="ER334" s="21"/>
      <c r="ES334" s="168">
        <v>-8514000</v>
      </c>
      <c r="ET334" s="168">
        <v>73089000</v>
      </c>
      <c r="EU334" s="168">
        <v>75337000</v>
      </c>
      <c r="EV334" s="168">
        <v>81603000</v>
      </c>
      <c r="EW334" s="21"/>
      <c r="EX334" s="21"/>
      <c r="EY334" s="21"/>
      <c r="EZ334" s="21"/>
      <c r="FA334" s="21"/>
      <c r="FB334" s="168">
        <v>7000</v>
      </c>
      <c r="FC334" s="168">
        <v>5000</v>
      </c>
      <c r="FD334" s="168">
        <v>7000</v>
      </c>
      <c r="FE334" s="21"/>
      <c r="FF334" s="21"/>
      <c r="FG334" s="21"/>
      <c r="FH334" s="21"/>
      <c r="FI334" s="168">
        <v>-251000</v>
      </c>
      <c r="FJ334" s="168">
        <v>488000</v>
      </c>
      <c r="FK334" s="21"/>
      <c r="FL334" s="21"/>
      <c r="FM334" s="21"/>
      <c r="FN334" s="21"/>
      <c r="FO334" s="21"/>
      <c r="FP334" s="21"/>
      <c r="FQ334" s="168">
        <v>-338000</v>
      </c>
      <c r="FR334" s="168">
        <v>-338000</v>
      </c>
      <c r="FS334" s="21"/>
      <c r="FT334" s="21"/>
      <c r="FU334" s="21"/>
      <c r="FV334" s="21"/>
      <c r="FW334" s="168">
        <v>-186000</v>
      </c>
      <c r="FX334" s="168">
        <v>150000</v>
      </c>
      <c r="FY334" s="168">
        <v>-318000</v>
      </c>
      <c r="FZ334" s="168">
        <v>53000</v>
      </c>
      <c r="GA334" s="21"/>
      <c r="GB334" s="21"/>
      <c r="GC334" s="21"/>
      <c r="GD334" s="21"/>
      <c r="GE334" s="21"/>
      <c r="GF334" s="21"/>
      <c r="GG334" s="21"/>
      <c r="GH334" s="21"/>
      <c r="GI334" s="21"/>
      <c r="GJ334" s="21"/>
      <c r="GK334" s="21"/>
      <c r="GL334" s="21"/>
      <c r="GM334" s="168">
        <v>123000</v>
      </c>
      <c r="GN334" s="168">
        <v>-1170000</v>
      </c>
      <c r="GO334" s="168">
        <v>459000</v>
      </c>
      <c r="GP334" s="168">
        <v>-825000</v>
      </c>
      <c r="GQ334" s="168">
        <v>1000</v>
      </c>
      <c r="GR334" s="168">
        <v>-7000</v>
      </c>
      <c r="GS334" s="168">
        <v>-195000</v>
      </c>
      <c r="GT334" s="168">
        <v>-1117000</v>
      </c>
      <c r="GU334" s="21"/>
      <c r="GV334" s="21"/>
      <c r="GW334" s="21"/>
      <c r="GX334" s="21"/>
      <c r="GY334" s="21"/>
      <c r="GZ334" s="21"/>
      <c r="HA334" s="21"/>
      <c r="HB334" s="21"/>
      <c r="HC334" s="21"/>
      <c r="HD334" s="21"/>
      <c r="HE334" s="168">
        <v>24000</v>
      </c>
      <c r="HF334" s="168">
        <v>24000</v>
      </c>
      <c r="HG334" s="21"/>
      <c r="HH334" s="21"/>
      <c r="HI334" s="168">
        <v>458000</v>
      </c>
      <c r="HJ334" s="168">
        <v>357000</v>
      </c>
      <c r="HK334" s="21"/>
      <c r="HL334" s="21"/>
      <c r="HM334" s="21"/>
      <c r="HN334" s="21"/>
      <c r="HO334" s="168">
        <v>7152000</v>
      </c>
      <c r="HP334" s="168">
        <v>7009000</v>
      </c>
      <c r="HQ334" s="21"/>
      <c r="HR334" s="21"/>
      <c r="HS334" s="21"/>
      <c r="HT334" s="21"/>
      <c r="HU334" s="21"/>
      <c r="HV334" s="21"/>
      <c r="HW334" s="21"/>
      <c r="HX334" s="21"/>
      <c r="HY334" s="21"/>
      <c r="HZ334" s="21"/>
      <c r="IA334" s="21"/>
      <c r="IB334" s="21"/>
      <c r="IC334" s="21"/>
      <c r="ID334" s="21"/>
      <c r="IE334" s="168">
        <v>1219000</v>
      </c>
      <c r="IF334" s="168">
        <v>1331000</v>
      </c>
      <c r="IG334" s="21"/>
      <c r="IH334" s="21"/>
      <c r="II334" s="21"/>
      <c r="IJ334" s="21"/>
      <c r="IK334" s="21"/>
      <c r="IL334" s="21"/>
      <c r="IM334" s="21"/>
      <c r="IN334" s="21"/>
      <c r="IO334" s="21"/>
      <c r="IP334" s="21"/>
      <c r="IQ334" s="21"/>
      <c r="IR334" s="21"/>
      <c r="IS334" s="21"/>
      <c r="IT334" s="21"/>
      <c r="IU334" s="168">
        <v>896000</v>
      </c>
      <c r="IV334" s="168">
        <v>-1464000</v>
      </c>
      <c r="IW334" s="168">
        <v>2041000</v>
      </c>
      <c r="IX334" s="168">
        <v>-250000</v>
      </c>
      <c r="IY334" s="168">
        <v>-1145000</v>
      </c>
      <c r="IZ334" s="168">
        <v>-1213000</v>
      </c>
      <c r="JA334" s="21"/>
      <c r="JB334" s="21"/>
      <c r="JC334" s="21"/>
      <c r="JD334" s="21"/>
      <c r="JE334" s="21"/>
      <c r="JF334" s="21"/>
      <c r="JG334" s="21"/>
      <c r="JH334" s="21"/>
      <c r="JI334" s="168">
        <v>69301000</v>
      </c>
      <c r="JJ334" s="168">
        <v>64658000</v>
      </c>
      <c r="JK334" s="21"/>
      <c r="JL334" s="21"/>
      <c r="JM334" s="168">
        <v>71342000</v>
      </c>
      <c r="JN334" s="168">
        <v>64408000</v>
      </c>
      <c r="JO334" s="21"/>
      <c r="JP334" s="21"/>
      <c r="JQ334" s="21"/>
      <c r="JR334" s="21"/>
      <c r="JS334" s="21"/>
      <c r="JT334" s="21"/>
      <c r="JU334" s="21"/>
      <c r="JV334" s="21"/>
      <c r="JW334" s="168">
        <v>70884000</v>
      </c>
      <c r="JX334" s="168">
        <v>64051000</v>
      </c>
      <c r="JY334" s="21"/>
      <c r="JZ334" s="21"/>
      <c r="KA334" s="21"/>
      <c r="KB334" s="21"/>
      <c r="KC334" s="21"/>
      <c r="KD334" s="21"/>
      <c r="KE334" s="21"/>
      <c r="KF334" s="21"/>
      <c r="KG334" s="21"/>
      <c r="KH334" s="21"/>
      <c r="KI334" s="21"/>
      <c r="KJ334" s="21"/>
      <c r="KK334" s="21"/>
      <c r="KL334" s="21"/>
      <c r="KM334" s="21"/>
      <c r="KN334" s="21"/>
      <c r="KO334" s="21"/>
      <c r="KP334" s="21"/>
      <c r="KQ334" s="168">
        <v>4545000</v>
      </c>
      <c r="KR334" s="168">
        <v>4468000</v>
      </c>
      <c r="KS334" s="21"/>
      <c r="KT334" s="21"/>
      <c r="KU334" s="21"/>
      <c r="KV334" s="21"/>
      <c r="KW334" s="21"/>
      <c r="KX334" s="21"/>
      <c r="KY334" s="21"/>
      <c r="KZ334" s="21"/>
      <c r="LA334" s="168">
        <v>50000</v>
      </c>
      <c r="LB334" s="168">
        <v>50000</v>
      </c>
      <c r="LC334" s="21"/>
      <c r="LD334" s="21"/>
      <c r="LE334" s="21"/>
      <c r="LF334" s="21"/>
      <c r="LG334" s="21"/>
      <c r="LH334" s="21"/>
      <c r="LI334" s="21"/>
      <c r="LJ334" s="21"/>
      <c r="LK334" s="168">
        <v>6189000</v>
      </c>
      <c r="LL334" s="168">
        <v>6908000</v>
      </c>
      <c r="LM334" s="21"/>
      <c r="LN334" s="21"/>
      <c r="LO334" s="21"/>
      <c r="LP334" s="21"/>
      <c r="LQ334" s="21"/>
      <c r="LR334" s="21"/>
      <c r="LS334" s="21"/>
      <c r="LT334" s="21"/>
      <c r="LU334" s="21"/>
      <c r="LV334" s="21"/>
      <c r="LW334" s="21"/>
      <c r="LX334" s="21"/>
      <c r="LY334" s="21"/>
      <c r="LZ334" s="21"/>
      <c r="MA334" s="21"/>
      <c r="MB334" s="21"/>
      <c r="MC334" s="168">
        <v>59694000</v>
      </c>
      <c r="MD334" s="168">
        <v>61416000</v>
      </c>
      <c r="ME334" s="21"/>
      <c r="MF334" s="21"/>
      <c r="MG334" s="21"/>
      <c r="MH334" s="21"/>
      <c r="MI334" s="21"/>
      <c r="MJ334" s="21"/>
      <c r="MK334" s="21"/>
      <c r="ML334" s="21"/>
      <c r="MM334" s="21"/>
      <c r="MN334" s="21"/>
      <c r="MO334" s="21"/>
      <c r="MP334" s="21"/>
      <c r="MQ334" s="21"/>
      <c r="MR334" s="21"/>
      <c r="MS334" s="21"/>
      <c r="MT334" s="21"/>
      <c r="MU334" s="21"/>
      <c r="MV334" s="21"/>
      <c r="MW334" s="168">
        <v>2415000</v>
      </c>
      <c r="MX334" s="168">
        <v>3541000</v>
      </c>
      <c r="MY334" s="21"/>
      <c r="MZ334" s="21"/>
      <c r="NA334" s="21"/>
      <c r="NB334" s="21"/>
      <c r="NC334" s="168">
        <v>-195000</v>
      </c>
      <c r="ND334" s="168">
        <v>-1117000</v>
      </c>
      <c r="NE334" s="21"/>
      <c r="NF334" s="21"/>
      <c r="NG334" s="168">
        <v>2270000</v>
      </c>
      <c r="NH334" s="168">
        <v>2474000</v>
      </c>
      <c r="NI334" s="21"/>
      <c r="NJ334" s="21"/>
      <c r="NK334" s="21"/>
      <c r="NL334" s="21"/>
      <c r="NM334" s="21"/>
      <c r="NN334" s="21"/>
      <c r="NO334" s="168">
        <v>73089000</v>
      </c>
      <c r="NP334" s="168">
        <v>75337000</v>
      </c>
      <c r="NQ334" s="168" t="s">
        <v>1107</v>
      </c>
      <c r="NR334" s="168" t="s">
        <v>769</v>
      </c>
      <c r="NS334" s="168" t="s">
        <v>770</v>
      </c>
      <c r="NT334" s="168" t="s">
        <v>771</v>
      </c>
      <c r="NU334" s="168">
        <v>3102</v>
      </c>
      <c r="NV334" s="168" t="s">
        <v>2104</v>
      </c>
      <c r="NW334" s="168" t="s">
        <v>28</v>
      </c>
      <c r="NX334" s="168" t="s">
        <v>25</v>
      </c>
      <c r="NY334" s="169">
        <v>42766</v>
      </c>
      <c r="NZ334" s="169">
        <v>42400</v>
      </c>
      <c r="OA334" s="169">
        <v>43061</v>
      </c>
      <c r="OB334" s="168" t="s">
        <v>1108</v>
      </c>
      <c r="OC334" s="168">
        <v>12</v>
      </c>
      <c r="OD334" s="168" t="s">
        <v>2105</v>
      </c>
      <c r="OE334" s="168" t="s">
        <v>1109</v>
      </c>
      <c r="OF334" s="168" t="s">
        <v>2297</v>
      </c>
      <c r="OG334" s="168" t="s">
        <v>1881</v>
      </c>
      <c r="OH334" s="168" t="s">
        <v>869</v>
      </c>
      <c r="OI334" s="168" t="s">
        <v>766</v>
      </c>
      <c r="OJ334" s="168" t="s">
        <v>3240</v>
      </c>
      <c r="OK334" s="168" t="s">
        <v>767</v>
      </c>
    </row>
    <row r="335" spans="1:401" x14ac:dyDescent="0.2">
      <c r="A335" s="170" t="str">
        <f>Liste[[#This Row],[Siren]]</f>
        <v>538620014</v>
      </c>
      <c r="B335" s="198" t="str">
        <f>Liste[[#This Row],[Dénomination]]&amp;" - comptes "&amp;YEAR(Liste[[#This Row],[Date de cloture de l''exercice]])</f>
        <v>SFBI - comptes 2017</v>
      </c>
      <c r="C335" s="21"/>
      <c r="D335" s="21"/>
      <c r="E335" s="21"/>
      <c r="F335" s="168">
        <v>2216115</v>
      </c>
      <c r="G335" s="168">
        <v>2029096</v>
      </c>
      <c r="H335" s="168">
        <v>-3</v>
      </c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168">
        <v>993859</v>
      </c>
      <c r="BE335" s="168">
        <v>718697</v>
      </c>
      <c r="BF335" s="168">
        <v>-3</v>
      </c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  <c r="BX335" s="168">
        <v>1180479</v>
      </c>
      <c r="BY335" s="168">
        <v>1596987</v>
      </c>
      <c r="BZ335" s="168">
        <v>-3</v>
      </c>
      <c r="CA335" s="21"/>
      <c r="CB335" s="21"/>
      <c r="CC335" s="21"/>
      <c r="CD335" s="21"/>
      <c r="CE335" s="21"/>
      <c r="CF335" s="21"/>
      <c r="CG335" s="21"/>
      <c r="CH335" s="21"/>
      <c r="CI335" s="21"/>
      <c r="CJ335" s="21"/>
      <c r="CK335" s="21"/>
      <c r="CL335" s="21"/>
      <c r="CM335" s="21"/>
      <c r="CN335" s="21"/>
      <c r="CO335" s="21"/>
      <c r="CP335" s="21"/>
      <c r="CQ335" s="21"/>
      <c r="CR335" s="21"/>
      <c r="CS335" s="21"/>
      <c r="CT335" s="21"/>
      <c r="CU335" s="21"/>
      <c r="CV335" s="21"/>
      <c r="CW335" s="21"/>
      <c r="CX335" s="21"/>
      <c r="CY335" s="21"/>
      <c r="CZ335" s="21"/>
      <c r="DA335" s="21"/>
      <c r="DB335" s="21"/>
      <c r="DC335" s="21"/>
      <c r="DD335" s="21"/>
      <c r="DE335" s="21"/>
      <c r="DF335" s="21"/>
      <c r="DG335" s="21"/>
      <c r="DH335" s="21"/>
      <c r="DI335" s="21"/>
      <c r="DJ335" s="21"/>
      <c r="DK335" s="21"/>
      <c r="DL335" s="21"/>
      <c r="DM335" s="21"/>
      <c r="DN335" s="21"/>
      <c r="DO335" s="21"/>
      <c r="DP335" s="21"/>
      <c r="DQ335" s="21"/>
      <c r="DR335" s="21"/>
      <c r="DS335" s="21"/>
      <c r="DT335" s="21"/>
      <c r="DU335" s="21"/>
      <c r="DV335" s="21"/>
      <c r="DW335" s="21"/>
      <c r="DX335" s="21"/>
      <c r="DY335" s="21"/>
      <c r="DZ335" s="21"/>
      <c r="EA335" s="21"/>
      <c r="EB335" s="21"/>
      <c r="EC335" s="21"/>
      <c r="ED335" s="21"/>
      <c r="EE335" s="21"/>
      <c r="EF335" s="21"/>
      <c r="EG335" s="21"/>
      <c r="EH335" s="21"/>
      <c r="EI335" s="21"/>
      <c r="EJ335" s="21"/>
      <c r="EK335" s="21"/>
      <c r="EL335" s="168">
        <v>20081677</v>
      </c>
      <c r="EM335" s="168">
        <v>29345835</v>
      </c>
      <c r="EN335" s="168">
        <v>-3</v>
      </c>
      <c r="EO335" s="21"/>
      <c r="EP335" s="168">
        <v>13378197</v>
      </c>
      <c r="EQ335" s="168">
        <v>12740841</v>
      </c>
      <c r="ER335" s="21"/>
      <c r="ES335" s="21"/>
      <c r="ET335" s="168">
        <v>42886875</v>
      </c>
      <c r="EU335" s="168">
        <v>43262127</v>
      </c>
      <c r="EV335" s="21"/>
      <c r="EW335" s="21"/>
      <c r="EX335" s="21"/>
      <c r="EY335" s="21"/>
      <c r="EZ335" s="21"/>
      <c r="FA335" s="21"/>
      <c r="FB335" s="21"/>
      <c r="FC335" s="21"/>
      <c r="FD335" s="21"/>
      <c r="FE335" s="21"/>
      <c r="FF335" s="168">
        <v>1122950</v>
      </c>
      <c r="FG335" s="168">
        <v>550232</v>
      </c>
      <c r="FH335" s="168">
        <v>-3</v>
      </c>
      <c r="FI335" s="168">
        <v>350145</v>
      </c>
      <c r="FJ335" s="168">
        <v>70509</v>
      </c>
      <c r="FK335" s="21"/>
      <c r="FL335" s="21"/>
      <c r="FM335" s="21"/>
      <c r="FN335" s="21"/>
      <c r="FO335" s="21"/>
      <c r="FP335" s="21"/>
      <c r="FQ335" s="168">
        <v>98155</v>
      </c>
      <c r="FR335" s="168">
        <v>98155</v>
      </c>
      <c r="FS335" s="21"/>
      <c r="FT335" s="21"/>
      <c r="FU335" s="21"/>
      <c r="FV335" s="21"/>
      <c r="FW335" s="168">
        <v>436941</v>
      </c>
      <c r="FX335" s="168">
        <v>362911</v>
      </c>
      <c r="FY335" s="168">
        <v>26955</v>
      </c>
      <c r="FZ335" s="168">
        <v>24407</v>
      </c>
      <c r="GA335" s="21"/>
      <c r="GB335" s="21"/>
      <c r="GC335" s="21"/>
      <c r="GD335" s="21"/>
      <c r="GE335" s="21"/>
      <c r="GF335" s="21"/>
      <c r="GG335" s="21"/>
      <c r="GH335" s="21"/>
      <c r="GI335" s="21"/>
      <c r="GJ335" s="21"/>
      <c r="GK335" s="21"/>
      <c r="GL335" s="21"/>
      <c r="GM335" s="168">
        <v>1846793</v>
      </c>
      <c r="GN335" s="168">
        <v>1632944</v>
      </c>
      <c r="GO335" s="168">
        <v>1944948</v>
      </c>
      <c r="GP335" s="168">
        <v>1731099</v>
      </c>
      <c r="GQ335" s="21"/>
      <c r="GR335" s="21"/>
      <c r="GS335" s="168">
        <v>1819838</v>
      </c>
      <c r="GT335" s="168">
        <v>1608537</v>
      </c>
      <c r="GU335" s="168">
        <v>97644</v>
      </c>
      <c r="GV335" s="168">
        <v>57111</v>
      </c>
      <c r="GW335" s="168">
        <v>447789</v>
      </c>
      <c r="GX335" s="168">
        <v>127620</v>
      </c>
      <c r="GY335" s="21"/>
      <c r="GZ335" s="21"/>
      <c r="HA335" s="21"/>
      <c r="HB335" s="21"/>
      <c r="HC335" s="168">
        <v>5312591</v>
      </c>
      <c r="HD335" s="168">
        <v>4893968</v>
      </c>
      <c r="HE335" s="21"/>
      <c r="HF335" s="21"/>
      <c r="HG335" s="21"/>
      <c r="HH335" s="21"/>
      <c r="HI335" s="168">
        <v>558076</v>
      </c>
      <c r="HJ335" s="168">
        <v>427980</v>
      </c>
      <c r="HK335" s="21"/>
      <c r="HL335" s="21"/>
      <c r="HM335" s="21"/>
      <c r="HN335" s="21"/>
      <c r="HO335" s="21"/>
      <c r="HP335" s="21"/>
      <c r="HQ335" s="21"/>
      <c r="HR335" s="21"/>
      <c r="HS335" s="21"/>
      <c r="HT335" s="21"/>
      <c r="HU335" s="168">
        <v>1417240</v>
      </c>
      <c r="HV335" s="168">
        <v>1376536</v>
      </c>
      <c r="HW335" s="21"/>
      <c r="HX335" s="21"/>
      <c r="HY335" s="168">
        <v>11375</v>
      </c>
      <c r="HZ335" s="168">
        <v>288285</v>
      </c>
      <c r="IA335" s="21"/>
      <c r="IB335" s="21"/>
      <c r="IC335" s="21"/>
      <c r="ID335" s="21"/>
      <c r="IE335" s="168">
        <v>1399999</v>
      </c>
      <c r="IF335" s="168">
        <v>1394860</v>
      </c>
      <c r="IG335" s="21"/>
      <c r="IH335" s="21"/>
      <c r="II335" s="21"/>
      <c r="IJ335" s="21"/>
      <c r="IK335" s="21"/>
      <c r="IL335" s="21"/>
      <c r="IM335" s="21"/>
      <c r="IN335" s="21"/>
      <c r="IO335" s="21"/>
      <c r="IP335" s="21"/>
      <c r="IQ335" s="21"/>
      <c r="IR335" s="21"/>
      <c r="IS335" s="21"/>
      <c r="IT335" s="21"/>
      <c r="IU335" s="168">
        <v>2031744</v>
      </c>
      <c r="IV335" s="168">
        <v>2023501</v>
      </c>
      <c r="IW335" s="168">
        <v>2247839</v>
      </c>
      <c r="IX335" s="168">
        <v>2303564</v>
      </c>
      <c r="IY335" s="168">
        <v>-216095</v>
      </c>
      <c r="IZ335" s="168">
        <v>-280063</v>
      </c>
      <c r="JA335" s="168">
        <v>255442</v>
      </c>
      <c r="JB335" s="168">
        <v>218446</v>
      </c>
      <c r="JC335" s="21"/>
      <c r="JD335" s="21"/>
      <c r="JE335" s="168">
        <v>9426712</v>
      </c>
      <c r="JF335" s="168">
        <v>9200917</v>
      </c>
      <c r="JG335" s="168">
        <v>29527</v>
      </c>
      <c r="JH335" s="168">
        <v>2000</v>
      </c>
      <c r="JI335" s="168">
        <v>77137076</v>
      </c>
      <c r="JJ335" s="168">
        <v>76169279</v>
      </c>
      <c r="JK335" s="168">
        <v>275039</v>
      </c>
      <c r="JL335" s="168">
        <v>345519</v>
      </c>
      <c r="JM335" s="168">
        <v>79384915</v>
      </c>
      <c r="JN335" s="168">
        <v>78472843</v>
      </c>
      <c r="JO335" s="168">
        <v>58944</v>
      </c>
      <c r="JP335" s="168">
        <v>65456</v>
      </c>
      <c r="JQ335" s="21"/>
      <c r="JR335" s="21"/>
      <c r="JS335" s="21"/>
      <c r="JT335" s="21"/>
      <c r="JU335" s="21"/>
      <c r="JV335" s="21"/>
      <c r="JW335" s="168">
        <v>78541870</v>
      </c>
      <c r="JX335" s="168">
        <v>77824417</v>
      </c>
      <c r="JY335" s="21"/>
      <c r="JZ335" s="21"/>
      <c r="KA335" s="21"/>
      <c r="KB335" s="21"/>
      <c r="KC335" s="21"/>
      <c r="KD335" s="21"/>
      <c r="KE335" s="21"/>
      <c r="KF335" s="21"/>
      <c r="KG335" s="21"/>
      <c r="KH335" s="21"/>
      <c r="KI335" s="168">
        <v>67974855</v>
      </c>
      <c r="KJ335" s="168">
        <v>67466223</v>
      </c>
      <c r="KK335" s="21"/>
      <c r="KL335" s="21"/>
      <c r="KM335" s="21"/>
      <c r="KN335" s="21"/>
      <c r="KO335" s="21"/>
      <c r="KP335" s="21"/>
      <c r="KQ335" s="168">
        <v>265301</v>
      </c>
      <c r="KR335" s="168">
        <v>279332</v>
      </c>
      <c r="KS335" s="21"/>
      <c r="KT335" s="21"/>
      <c r="KU335" s="21"/>
      <c r="KV335" s="21"/>
      <c r="KW335" s="21"/>
      <c r="KX335" s="21"/>
      <c r="KY335" s="21"/>
      <c r="KZ335" s="21"/>
      <c r="LA335" s="168">
        <v>40000</v>
      </c>
      <c r="LB335" s="168">
        <v>40000</v>
      </c>
      <c r="LC335" s="21"/>
      <c r="LD335" s="21"/>
      <c r="LE335" s="21"/>
      <c r="LF335" s="21"/>
      <c r="LG335" s="21"/>
      <c r="LH335" s="21"/>
      <c r="LI335" s="168">
        <v>3020235</v>
      </c>
      <c r="LJ335" s="168">
        <v>3204722</v>
      </c>
      <c r="LK335" s="168">
        <v>5395243</v>
      </c>
      <c r="LL335" s="168">
        <v>5032977</v>
      </c>
      <c r="LM335" s="168">
        <v>44250</v>
      </c>
      <c r="LN335" s="168">
        <v>276942</v>
      </c>
      <c r="LO335" s="21"/>
      <c r="LP335" s="21"/>
      <c r="LQ335" s="21"/>
      <c r="LR335" s="21"/>
      <c r="LS335" s="21"/>
      <c r="LT335" s="21"/>
      <c r="LU335" s="21"/>
      <c r="LV335" s="21"/>
      <c r="LW335" s="21"/>
      <c r="LX335" s="21"/>
      <c r="LY335" s="21"/>
      <c r="LZ335" s="21"/>
      <c r="MA335" s="21"/>
      <c r="MB335" s="21"/>
      <c r="MC335" s="168">
        <v>23690744</v>
      </c>
      <c r="MD335" s="168">
        <v>25561815</v>
      </c>
      <c r="ME335" s="21"/>
      <c r="MF335" s="21"/>
      <c r="MG335" s="21"/>
      <c r="MH335" s="21"/>
      <c r="MI335" s="21"/>
      <c r="MJ335" s="21"/>
      <c r="MK335" s="21"/>
      <c r="ML335" s="21"/>
      <c r="MM335" s="21"/>
      <c r="MN335" s="21"/>
      <c r="MO335" s="21"/>
      <c r="MP335" s="21"/>
      <c r="MQ335" s="21"/>
      <c r="MR335" s="21"/>
      <c r="MS335" s="168">
        <v>49842</v>
      </c>
      <c r="MT335" s="168">
        <v>59810</v>
      </c>
      <c r="MU335" s="21"/>
      <c r="MV335" s="21"/>
      <c r="MW335" s="21"/>
      <c r="MX335" s="21"/>
      <c r="MY335" s="21"/>
      <c r="MZ335" s="21"/>
      <c r="NA335" s="21"/>
      <c r="NB335" s="21"/>
      <c r="NC335" s="168">
        <v>1819838</v>
      </c>
      <c r="ND335" s="168">
        <v>1608537</v>
      </c>
      <c r="NE335" s="21"/>
      <c r="NF335" s="21"/>
      <c r="NG335" s="168">
        <v>9298212</v>
      </c>
      <c r="NH335" s="168">
        <v>7488347</v>
      </c>
      <c r="NI335" s="21"/>
      <c r="NJ335" s="21"/>
      <c r="NK335" s="168">
        <v>137708</v>
      </c>
      <c r="NL335" s="168">
        <v>240489</v>
      </c>
      <c r="NM335" s="168">
        <v>32415773</v>
      </c>
      <c r="NN335" s="168">
        <v>34355788</v>
      </c>
      <c r="NO335" s="168">
        <v>42886875</v>
      </c>
      <c r="NP335" s="168">
        <v>43262127</v>
      </c>
      <c r="NQ335" s="168" t="s">
        <v>3414</v>
      </c>
      <c r="NR335" s="168" t="s">
        <v>802</v>
      </c>
      <c r="NS335" s="168" t="s">
        <v>770</v>
      </c>
      <c r="NT335" s="168" t="s">
        <v>771</v>
      </c>
      <c r="NU335" s="168">
        <v>1001</v>
      </c>
      <c r="NV335" s="168" t="s">
        <v>2104</v>
      </c>
      <c r="NW335" s="168" t="s">
        <v>28</v>
      </c>
      <c r="NX335" s="168" t="s">
        <v>25</v>
      </c>
      <c r="NY335" s="169">
        <v>42766</v>
      </c>
      <c r="NZ335" s="169">
        <v>42400</v>
      </c>
      <c r="OA335" s="169">
        <v>43126</v>
      </c>
      <c r="OB335" s="168" t="s">
        <v>3415</v>
      </c>
      <c r="OC335" s="168">
        <v>12</v>
      </c>
      <c r="OD335" s="168" t="s">
        <v>2106</v>
      </c>
      <c r="OE335" s="168" t="s">
        <v>2226</v>
      </c>
      <c r="OF335" s="168" t="s">
        <v>3416</v>
      </c>
      <c r="OG335" s="168" t="s">
        <v>3417</v>
      </c>
      <c r="OH335" s="168" t="s">
        <v>1053</v>
      </c>
      <c r="OI335" s="168" t="s">
        <v>766</v>
      </c>
      <c r="OJ335" s="168" t="s">
        <v>3240</v>
      </c>
      <c r="OK335" s="168" t="s">
        <v>801</v>
      </c>
    </row>
    <row r="336" spans="1:401" x14ac:dyDescent="0.2">
      <c r="A336" s="170" t="str">
        <f>Liste[[#This Row],[Siren]]</f>
        <v>519761787</v>
      </c>
      <c r="B336" s="198" t="str">
        <f>Liste[[#This Row],[Dénomination]]&amp;" - comptes "&amp;YEAR(Liste[[#This Row],[Date de cloture de l''exercice]])</f>
        <v>PAVI HOLDING - comptes 2017</v>
      </c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168">
        <v>33610</v>
      </c>
      <c r="BD336" s="168">
        <v>89621</v>
      </c>
      <c r="BE336" s="168">
        <v>1292393</v>
      </c>
      <c r="BF336" s="168">
        <v>123231</v>
      </c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  <c r="BX336" s="168">
        <v>2728701</v>
      </c>
      <c r="BY336" s="168">
        <v>3240661</v>
      </c>
      <c r="BZ336" s="168">
        <v>2728701</v>
      </c>
      <c r="CA336" s="21"/>
      <c r="CB336" s="21"/>
      <c r="CC336" s="21"/>
      <c r="CD336" s="168">
        <v>666530</v>
      </c>
      <c r="CE336" s="168">
        <v>1620863</v>
      </c>
      <c r="CF336" s="168">
        <v>1620863</v>
      </c>
      <c r="CG336" s="168">
        <v>2287393</v>
      </c>
      <c r="CH336" s="21"/>
      <c r="CI336" s="21"/>
      <c r="CJ336" s="21"/>
      <c r="CK336" s="21"/>
      <c r="CL336" s="21"/>
      <c r="CM336" s="21"/>
      <c r="CN336" s="21"/>
      <c r="CO336" s="21"/>
      <c r="CP336" s="21"/>
      <c r="CQ336" s="21"/>
      <c r="CR336" s="21"/>
      <c r="CS336" s="21"/>
      <c r="CT336" s="21"/>
      <c r="CU336" s="21"/>
      <c r="CV336" s="21"/>
      <c r="CW336" s="21"/>
      <c r="CX336" s="21"/>
      <c r="CY336" s="21"/>
      <c r="CZ336" s="21"/>
      <c r="DA336" s="21"/>
      <c r="DB336" s="21"/>
      <c r="DC336" s="21"/>
      <c r="DD336" s="21"/>
      <c r="DE336" s="21"/>
      <c r="DF336" s="21"/>
      <c r="DG336" s="21"/>
      <c r="DH336" s="21"/>
      <c r="DI336" s="21"/>
      <c r="DJ336" s="21"/>
      <c r="DK336" s="21"/>
      <c r="DL336" s="21"/>
      <c r="DM336" s="21"/>
      <c r="DN336" s="21"/>
      <c r="DO336" s="21"/>
      <c r="DP336" s="21"/>
      <c r="DQ336" s="21"/>
      <c r="DR336" s="21"/>
      <c r="DS336" s="21"/>
      <c r="DT336" s="21"/>
      <c r="DU336" s="21"/>
      <c r="DV336" s="21"/>
      <c r="DW336" s="21"/>
      <c r="DX336" s="21"/>
      <c r="DY336" s="21"/>
      <c r="DZ336" s="21"/>
      <c r="EA336" s="21"/>
      <c r="EB336" s="21"/>
      <c r="EC336" s="21"/>
      <c r="ED336" s="21"/>
      <c r="EE336" s="21"/>
      <c r="EF336" s="21"/>
      <c r="EG336" s="21"/>
      <c r="EH336" s="21"/>
      <c r="EI336" s="21"/>
      <c r="EJ336" s="21"/>
      <c r="EK336" s="168">
        <v>14764965</v>
      </c>
      <c r="EL336" s="168">
        <v>16752294</v>
      </c>
      <c r="EM336" s="168">
        <v>16564136</v>
      </c>
      <c r="EN336" s="168">
        <v>31517259</v>
      </c>
      <c r="EO336" s="168">
        <v>264428</v>
      </c>
      <c r="EP336" s="168">
        <v>15965957</v>
      </c>
      <c r="EQ336" s="168">
        <v>16272585</v>
      </c>
      <c r="ER336" s="168">
        <v>16230385</v>
      </c>
      <c r="ES336" s="168">
        <v>15029393</v>
      </c>
      <c r="ET336" s="168">
        <v>32718251</v>
      </c>
      <c r="EU336" s="168">
        <v>32836721</v>
      </c>
      <c r="EV336" s="168">
        <v>47747644</v>
      </c>
      <c r="EW336" s="21"/>
      <c r="EX336" s="21"/>
      <c r="EY336" s="21"/>
      <c r="EZ336" s="21"/>
      <c r="FA336" s="21"/>
      <c r="FB336" s="168">
        <v>80677</v>
      </c>
      <c r="FC336" s="168">
        <v>53966</v>
      </c>
      <c r="FD336" s="168">
        <v>80677</v>
      </c>
      <c r="FE336" s="21"/>
      <c r="FF336" s="168">
        <v>2363548</v>
      </c>
      <c r="FG336" s="168">
        <v>2099650</v>
      </c>
      <c r="FH336" s="168">
        <v>2363548</v>
      </c>
      <c r="FI336" s="21"/>
      <c r="FJ336" s="21"/>
      <c r="FK336" s="21"/>
      <c r="FL336" s="21"/>
      <c r="FM336" s="21"/>
      <c r="FN336" s="21"/>
      <c r="FO336" s="21"/>
      <c r="FP336" s="21"/>
      <c r="FQ336" s="21"/>
      <c r="FR336" s="168">
        <v>-114370</v>
      </c>
      <c r="FS336" s="21"/>
      <c r="FT336" s="21"/>
      <c r="FU336" s="21"/>
      <c r="FV336" s="21"/>
      <c r="FW336" s="168">
        <v>-661446</v>
      </c>
      <c r="FX336" s="168">
        <v>-674363</v>
      </c>
      <c r="FY336" s="168">
        <v>-12421</v>
      </c>
      <c r="FZ336" s="168">
        <v>-13629</v>
      </c>
      <c r="GA336" s="21"/>
      <c r="GB336" s="21"/>
      <c r="GC336" s="21"/>
      <c r="GD336" s="21"/>
      <c r="GE336" s="21"/>
      <c r="GF336" s="21"/>
      <c r="GG336" s="21"/>
      <c r="GH336" s="21"/>
      <c r="GI336" s="21"/>
      <c r="GJ336" s="21"/>
      <c r="GK336" s="21"/>
      <c r="GL336" s="21"/>
      <c r="GM336" s="168">
        <v>1214228</v>
      </c>
      <c r="GN336" s="168">
        <v>1278446</v>
      </c>
      <c r="GO336" s="168">
        <v>1211676</v>
      </c>
      <c r="GP336" s="168">
        <v>1384050</v>
      </c>
      <c r="GQ336" s="168">
        <v>2552</v>
      </c>
      <c r="GR336" s="168">
        <v>8766</v>
      </c>
      <c r="GS336" s="168">
        <v>1201807</v>
      </c>
      <c r="GT336" s="168">
        <v>1264817</v>
      </c>
      <c r="GU336" s="21"/>
      <c r="GV336" s="21"/>
      <c r="GW336" s="21"/>
      <c r="GX336" s="21"/>
      <c r="GY336" s="21"/>
      <c r="GZ336" s="21"/>
      <c r="HA336" s="21"/>
      <c r="HB336" s="21"/>
      <c r="HC336" s="21"/>
      <c r="HD336" s="21"/>
      <c r="HE336" s="168">
        <v>-13654</v>
      </c>
      <c r="HF336" s="168">
        <v>-17690</v>
      </c>
      <c r="HG336" s="21"/>
      <c r="HH336" s="21"/>
      <c r="HI336" s="168">
        <v>277363</v>
      </c>
      <c r="HJ336" s="168">
        <v>1085495</v>
      </c>
      <c r="HK336" s="21"/>
      <c r="HL336" s="21"/>
      <c r="HM336" s="21"/>
      <c r="HN336" s="21"/>
      <c r="HO336" s="168">
        <v>-5463533</v>
      </c>
      <c r="HP336" s="168">
        <v>-5310182</v>
      </c>
      <c r="HQ336" s="21"/>
      <c r="HR336" s="21"/>
      <c r="HS336" s="21"/>
      <c r="HT336" s="21"/>
      <c r="HU336" s="21"/>
      <c r="HV336" s="21"/>
      <c r="HW336" s="21"/>
      <c r="HX336" s="21"/>
      <c r="HY336" s="21"/>
      <c r="HZ336" s="21"/>
      <c r="IA336" s="21"/>
      <c r="IB336" s="21"/>
      <c r="IC336" s="21"/>
      <c r="ID336" s="21"/>
      <c r="IE336" s="168">
        <v>-851179</v>
      </c>
      <c r="IF336" s="168">
        <v>-832887</v>
      </c>
      <c r="IG336" s="21"/>
      <c r="IH336" s="21"/>
      <c r="II336" s="21"/>
      <c r="IJ336" s="21"/>
      <c r="IK336" s="21"/>
      <c r="IL336" s="21"/>
      <c r="IM336" s="21"/>
      <c r="IN336" s="21"/>
      <c r="IO336" s="21"/>
      <c r="IP336" s="21"/>
      <c r="IQ336" s="21"/>
      <c r="IR336" s="21"/>
      <c r="IS336" s="21"/>
      <c r="IT336" s="21"/>
      <c r="IU336" s="168">
        <v>1872370</v>
      </c>
      <c r="IV336" s="168">
        <v>2131249</v>
      </c>
      <c r="IW336" s="168">
        <v>1804711</v>
      </c>
      <c r="IX336" s="168">
        <v>2153816</v>
      </c>
      <c r="IY336" s="21"/>
      <c r="IZ336" s="21"/>
      <c r="JA336" s="21"/>
      <c r="JB336" s="21"/>
      <c r="JC336" s="21"/>
      <c r="JD336" s="21"/>
      <c r="JE336" s="21"/>
      <c r="JF336" s="21"/>
      <c r="JG336" s="21"/>
      <c r="JH336" s="21"/>
      <c r="JI336" s="168">
        <v>-57581834</v>
      </c>
      <c r="JJ336" s="168">
        <v>-57066019</v>
      </c>
      <c r="JK336" s="21"/>
      <c r="JL336" s="21"/>
      <c r="JM336" s="21"/>
      <c r="JN336" s="21"/>
      <c r="JO336" s="21"/>
      <c r="JP336" s="21"/>
      <c r="JQ336" s="21"/>
      <c r="JR336" s="21"/>
      <c r="JS336" s="21"/>
      <c r="JT336" s="21"/>
      <c r="JU336" s="21"/>
      <c r="JV336" s="21"/>
      <c r="JW336" s="168">
        <v>59386545</v>
      </c>
      <c r="JX336" s="168">
        <v>59219835</v>
      </c>
      <c r="JY336" s="21"/>
      <c r="JZ336" s="21"/>
      <c r="KA336" s="21"/>
      <c r="KB336" s="21"/>
      <c r="KC336" s="21"/>
      <c r="KD336" s="21"/>
      <c r="KE336" s="21"/>
      <c r="KF336" s="21"/>
      <c r="KG336" s="21"/>
      <c r="KH336" s="21"/>
      <c r="KI336" s="21"/>
      <c r="KJ336" s="21"/>
      <c r="KK336" s="21"/>
      <c r="KL336" s="21"/>
      <c r="KM336" s="21"/>
      <c r="KN336" s="21"/>
      <c r="KO336" s="21"/>
      <c r="KP336" s="21"/>
      <c r="KQ336" s="21"/>
      <c r="KR336" s="21"/>
      <c r="KS336" s="21"/>
      <c r="KT336" s="21"/>
      <c r="KU336" s="21"/>
      <c r="KV336" s="21"/>
      <c r="KW336" s="21"/>
      <c r="KX336" s="21"/>
      <c r="KY336" s="21"/>
      <c r="KZ336" s="21"/>
      <c r="LA336" s="168">
        <v>1007200</v>
      </c>
      <c r="LB336" s="168">
        <v>1007200</v>
      </c>
      <c r="LC336" s="21"/>
      <c r="LD336" s="21"/>
      <c r="LE336" s="21"/>
      <c r="LF336" s="21"/>
      <c r="LG336" s="21"/>
      <c r="LH336" s="21"/>
      <c r="LI336" s="21"/>
      <c r="LJ336" s="21"/>
      <c r="LK336" s="168">
        <v>4200362</v>
      </c>
      <c r="LL336" s="168">
        <v>4985059</v>
      </c>
      <c r="LM336" s="21"/>
      <c r="LN336" s="21"/>
      <c r="LO336" s="21"/>
      <c r="LP336" s="21"/>
      <c r="LQ336" s="21"/>
      <c r="LR336" s="21"/>
      <c r="LS336" s="21"/>
      <c r="LT336" s="21"/>
      <c r="LU336" s="21"/>
      <c r="LV336" s="21"/>
      <c r="LW336" s="21"/>
      <c r="LX336" s="21"/>
      <c r="LY336" s="21"/>
      <c r="LZ336" s="21"/>
      <c r="MA336" s="21"/>
      <c r="MB336" s="21"/>
      <c r="MC336" s="168">
        <v>14124796</v>
      </c>
      <c r="MD336" s="168">
        <v>14723773</v>
      </c>
      <c r="ME336" s="21"/>
      <c r="MF336" s="21"/>
      <c r="MG336" s="21"/>
      <c r="MH336" s="21"/>
      <c r="MI336" s="21"/>
      <c r="MJ336" s="21"/>
      <c r="MK336" s="21"/>
      <c r="ML336" s="21"/>
      <c r="MM336" s="21"/>
      <c r="MN336" s="21"/>
      <c r="MO336" s="21"/>
      <c r="MP336" s="21"/>
      <c r="MQ336" s="21"/>
      <c r="MR336" s="21"/>
      <c r="MS336" s="21"/>
      <c r="MT336" s="21"/>
      <c r="MU336" s="21"/>
      <c r="MV336" s="21"/>
      <c r="MW336" s="21"/>
      <c r="MX336" s="21"/>
      <c r="MY336" s="21"/>
      <c r="MZ336" s="21"/>
      <c r="NA336" s="21"/>
      <c r="NB336" s="21"/>
      <c r="NC336" s="168">
        <v>8689130</v>
      </c>
      <c r="ND336" s="168">
        <v>7424313</v>
      </c>
      <c r="NE336" s="21"/>
      <c r="NF336" s="21"/>
      <c r="NG336" s="168">
        <v>10898137</v>
      </c>
      <c r="NH336" s="168">
        <v>9696330</v>
      </c>
      <c r="NI336" s="21"/>
      <c r="NJ336" s="21"/>
      <c r="NK336" s="21"/>
      <c r="NL336" s="21"/>
      <c r="NM336" s="21"/>
      <c r="NN336" s="21"/>
      <c r="NO336" s="168">
        <v>32718250</v>
      </c>
      <c r="NP336" s="168">
        <v>32836721</v>
      </c>
      <c r="NQ336" s="168" t="s">
        <v>1062</v>
      </c>
      <c r="NR336" s="168" t="s">
        <v>769</v>
      </c>
      <c r="NS336" s="168" t="s">
        <v>770</v>
      </c>
      <c r="NT336" s="168" t="s">
        <v>771</v>
      </c>
      <c r="NU336" s="168">
        <v>4502</v>
      </c>
      <c r="NV336" s="168" t="s">
        <v>2104</v>
      </c>
      <c r="NW336" s="168" t="s">
        <v>28</v>
      </c>
      <c r="NX336" s="168" t="s">
        <v>25</v>
      </c>
      <c r="NY336" s="169">
        <v>42766</v>
      </c>
      <c r="NZ336" s="169">
        <v>42400</v>
      </c>
      <c r="OA336" s="169">
        <v>43122</v>
      </c>
      <c r="OB336" s="168" t="s">
        <v>1063</v>
      </c>
      <c r="OC336" s="168">
        <v>12</v>
      </c>
      <c r="OD336" s="168" t="s">
        <v>2105</v>
      </c>
      <c r="OE336" s="168" t="s">
        <v>2229</v>
      </c>
      <c r="OF336" s="168" t="s">
        <v>2258</v>
      </c>
      <c r="OG336" s="168" t="s">
        <v>1865</v>
      </c>
      <c r="OH336" s="168" t="s">
        <v>838</v>
      </c>
      <c r="OI336" s="168" t="s">
        <v>766</v>
      </c>
      <c r="OJ336" s="168" t="s">
        <v>3240</v>
      </c>
      <c r="OK336" s="168" t="s">
        <v>767</v>
      </c>
    </row>
    <row r="337" spans="1:401" x14ac:dyDescent="0.2">
      <c r="A337" s="170" t="str">
        <f>Liste[[#This Row],[Siren]]</f>
        <v>483693909</v>
      </c>
      <c r="B337" s="198" t="str">
        <f>Liste[[#This Row],[Dénomination]]&amp;" - comptes "&amp;YEAR(Liste[[#This Row],[Date de cloture de l''exercice]])</f>
        <v>EJ FINANCES II - comptes 2017</v>
      </c>
      <c r="C337" s="21"/>
      <c r="D337" s="21"/>
      <c r="E337" s="168">
        <v>21000</v>
      </c>
      <c r="F337" s="168">
        <v>1476000</v>
      </c>
      <c r="G337" s="168">
        <v>1301000</v>
      </c>
      <c r="H337" s="168">
        <v>1496000</v>
      </c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168">
        <v>86000</v>
      </c>
      <c r="BD337" s="168">
        <v>306000</v>
      </c>
      <c r="BE337" s="168">
        <v>285000</v>
      </c>
      <c r="BF337" s="168">
        <v>392000</v>
      </c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  <c r="BS337" s="21"/>
      <c r="BT337" s="21"/>
      <c r="BU337" s="21"/>
      <c r="BV337" s="21"/>
      <c r="BW337" s="21"/>
      <c r="BX337" s="168">
        <v>317000</v>
      </c>
      <c r="BY337" s="168">
        <v>431000</v>
      </c>
      <c r="BZ337" s="168">
        <v>317000</v>
      </c>
      <c r="CA337" s="21"/>
      <c r="CB337" s="21"/>
      <c r="CC337" s="21"/>
      <c r="CD337" s="168">
        <v>763000</v>
      </c>
      <c r="CE337" s="168">
        <v>6813000</v>
      </c>
      <c r="CF337" s="168">
        <v>880000</v>
      </c>
      <c r="CG337" s="168">
        <v>7576000</v>
      </c>
      <c r="CH337" s="21"/>
      <c r="CI337" s="21"/>
      <c r="CJ337" s="21"/>
      <c r="CK337" s="21"/>
      <c r="CL337" s="21"/>
      <c r="CM337" s="21"/>
      <c r="CN337" s="21"/>
      <c r="CO337" s="21"/>
      <c r="CP337" s="21"/>
      <c r="CQ337" s="21"/>
      <c r="CR337" s="21"/>
      <c r="CS337" s="21"/>
      <c r="CT337" s="21"/>
      <c r="CU337" s="21"/>
      <c r="CV337" s="21"/>
      <c r="CW337" s="21"/>
      <c r="CX337" s="21"/>
      <c r="CY337" s="21"/>
      <c r="CZ337" s="21"/>
      <c r="DA337" s="21"/>
      <c r="DB337" s="21"/>
      <c r="DC337" s="21"/>
      <c r="DD337" s="21"/>
      <c r="DE337" s="21"/>
      <c r="DF337" s="21"/>
      <c r="DG337" s="21"/>
      <c r="DH337" s="21"/>
      <c r="DI337" s="21"/>
      <c r="DJ337" s="21"/>
      <c r="DK337" s="21"/>
      <c r="DL337" s="21"/>
      <c r="DM337" s="21"/>
      <c r="DN337" s="21"/>
      <c r="DO337" s="21"/>
      <c r="DP337" s="21"/>
      <c r="DQ337" s="21"/>
      <c r="DR337" s="21"/>
      <c r="DS337" s="21"/>
      <c r="DT337" s="21"/>
      <c r="DU337" s="21"/>
      <c r="DV337" s="21"/>
      <c r="DW337" s="21"/>
      <c r="DX337" s="21"/>
      <c r="DY337" s="21"/>
      <c r="DZ337" s="21"/>
      <c r="EA337" s="21"/>
      <c r="EB337" s="21"/>
      <c r="EC337" s="21"/>
      <c r="ED337" s="21"/>
      <c r="EE337" s="21"/>
      <c r="EF337" s="21"/>
      <c r="EG337" s="21"/>
      <c r="EH337" s="21"/>
      <c r="EI337" s="21"/>
      <c r="EJ337" s="21"/>
      <c r="EK337" s="168">
        <v>9648000</v>
      </c>
      <c r="EL337" s="168">
        <v>14746000</v>
      </c>
      <c r="EM337" s="168">
        <v>15064000</v>
      </c>
      <c r="EN337" s="168">
        <v>24400000</v>
      </c>
      <c r="EO337" s="168">
        <v>282000</v>
      </c>
      <c r="EP337" s="168">
        <v>6136000</v>
      </c>
      <c r="EQ337" s="168">
        <v>6155000</v>
      </c>
      <c r="ER337" s="168">
        <v>6418000</v>
      </c>
      <c r="ES337" s="168">
        <v>9648000</v>
      </c>
      <c r="ET337" s="168">
        <v>20882000</v>
      </c>
      <c r="EU337" s="168">
        <v>21220000</v>
      </c>
      <c r="EV337" s="168">
        <v>30818000</v>
      </c>
      <c r="EW337" s="21"/>
      <c r="EX337" s="21"/>
      <c r="EY337" s="21"/>
      <c r="EZ337" s="21"/>
      <c r="FA337" s="21"/>
      <c r="FB337" s="21"/>
      <c r="FC337" s="21"/>
      <c r="FD337" s="21"/>
      <c r="FE337" s="21"/>
      <c r="FF337" s="21"/>
      <c r="FG337" s="21"/>
      <c r="FH337" s="21"/>
      <c r="FI337" s="168">
        <v>-32000</v>
      </c>
      <c r="FJ337" s="168">
        <v>30000</v>
      </c>
      <c r="FK337" s="21"/>
      <c r="FL337" s="21"/>
      <c r="FM337" s="21"/>
      <c r="FN337" s="21"/>
      <c r="FO337" s="21"/>
      <c r="FP337" s="21"/>
      <c r="FQ337" s="168">
        <v>-44000</v>
      </c>
      <c r="FR337" s="168">
        <v>-68000</v>
      </c>
      <c r="FS337" s="21"/>
      <c r="FT337" s="21"/>
      <c r="FU337" s="21"/>
      <c r="FV337" s="21"/>
      <c r="FW337" s="21"/>
      <c r="FX337" s="21"/>
      <c r="FY337" s="21"/>
      <c r="FZ337" s="21"/>
      <c r="GA337" s="21"/>
      <c r="GB337" s="21"/>
      <c r="GC337" s="21"/>
      <c r="GD337" s="21"/>
      <c r="GE337" s="21"/>
      <c r="GF337" s="21"/>
      <c r="GG337" s="21"/>
      <c r="GH337" s="21"/>
      <c r="GI337" s="21"/>
      <c r="GJ337" s="21"/>
      <c r="GK337" s="21"/>
      <c r="GL337" s="21"/>
      <c r="GM337" s="21"/>
      <c r="GN337" s="21"/>
      <c r="GO337" s="168">
        <v>788000</v>
      </c>
      <c r="GP337" s="168">
        <v>640000</v>
      </c>
      <c r="GQ337" s="21"/>
      <c r="GR337" s="21"/>
      <c r="GS337" s="168">
        <v>743000</v>
      </c>
      <c r="GT337" s="168">
        <v>572000</v>
      </c>
      <c r="GU337" s="168">
        <v>128000</v>
      </c>
      <c r="GV337" s="168">
        <v>113000</v>
      </c>
      <c r="GW337" s="168">
        <v>97000</v>
      </c>
      <c r="GX337" s="168">
        <v>143000</v>
      </c>
      <c r="GY337" s="21"/>
      <c r="GZ337" s="21"/>
      <c r="HA337" s="21"/>
      <c r="HB337" s="21"/>
      <c r="HC337" s="21"/>
      <c r="HD337" s="21"/>
      <c r="HE337" s="21"/>
      <c r="HF337" s="21"/>
      <c r="HG337" s="21"/>
      <c r="HH337" s="21"/>
      <c r="HI337" s="168">
        <v>260000</v>
      </c>
      <c r="HJ337" s="168">
        <v>234000</v>
      </c>
      <c r="HK337" s="21"/>
      <c r="HL337" s="21"/>
      <c r="HM337" s="21"/>
      <c r="HN337" s="21"/>
      <c r="HO337" s="21"/>
      <c r="HP337" s="21"/>
      <c r="HQ337" s="21"/>
      <c r="HR337" s="21"/>
      <c r="HS337" s="21"/>
      <c r="HT337" s="21"/>
      <c r="HU337" s="21"/>
      <c r="HV337" s="21"/>
      <c r="HW337" s="21"/>
      <c r="HX337" s="21"/>
      <c r="HY337" s="21"/>
      <c r="HZ337" s="21"/>
      <c r="IA337" s="21"/>
      <c r="IB337" s="21"/>
      <c r="IC337" s="21"/>
      <c r="ID337" s="21"/>
      <c r="IE337" s="168">
        <v>-642000</v>
      </c>
      <c r="IF337" s="168">
        <v>-649000</v>
      </c>
      <c r="IG337" s="21"/>
      <c r="IH337" s="21"/>
      <c r="II337" s="21"/>
      <c r="IJ337" s="21"/>
      <c r="IK337" s="21"/>
      <c r="IL337" s="21"/>
      <c r="IM337" s="21"/>
      <c r="IN337" s="21"/>
      <c r="IO337" s="21"/>
      <c r="IP337" s="21"/>
      <c r="IQ337" s="21"/>
      <c r="IR337" s="21"/>
      <c r="IS337" s="21"/>
      <c r="IT337" s="21"/>
      <c r="IU337" s="168">
        <v>947000</v>
      </c>
      <c r="IV337" s="168">
        <v>636000</v>
      </c>
      <c r="IW337" s="168">
        <v>1116000</v>
      </c>
      <c r="IX337" s="168">
        <v>840000</v>
      </c>
      <c r="IY337" s="168">
        <v>-169000</v>
      </c>
      <c r="IZ337" s="168">
        <v>-204000</v>
      </c>
      <c r="JA337" s="21"/>
      <c r="JB337" s="21"/>
      <c r="JC337" s="21"/>
      <c r="JD337" s="21"/>
      <c r="JE337" s="168">
        <v>-4619000</v>
      </c>
      <c r="JF337" s="168">
        <v>-4577000</v>
      </c>
      <c r="JG337" s="21"/>
      <c r="JH337" s="21"/>
      <c r="JI337" s="168">
        <v>-37961000</v>
      </c>
      <c r="JJ337" s="168">
        <v>-38649000</v>
      </c>
      <c r="JK337" s="168">
        <v>189000</v>
      </c>
      <c r="JL337" s="168">
        <v>240000</v>
      </c>
      <c r="JM337" s="168">
        <v>39077000</v>
      </c>
      <c r="JN337" s="168">
        <v>39489000</v>
      </c>
      <c r="JO337" s="168">
        <v>20000</v>
      </c>
      <c r="JP337" s="168">
        <v>36000</v>
      </c>
      <c r="JQ337" s="21"/>
      <c r="JR337" s="21"/>
      <c r="JS337" s="21"/>
      <c r="JT337" s="21"/>
      <c r="JU337" s="21"/>
      <c r="JV337" s="21"/>
      <c r="JW337" s="168">
        <v>38817000</v>
      </c>
      <c r="JX337" s="168">
        <v>39255000</v>
      </c>
      <c r="JY337" s="21"/>
      <c r="JZ337" s="21"/>
      <c r="KA337" s="21"/>
      <c r="KB337" s="21"/>
      <c r="KC337" s="21"/>
      <c r="KD337" s="21"/>
      <c r="KE337" s="21"/>
      <c r="KF337" s="21"/>
      <c r="KG337" s="21"/>
      <c r="KH337" s="21"/>
      <c r="KI337" s="21"/>
      <c r="KJ337" s="21"/>
      <c r="KK337" s="21"/>
      <c r="KL337" s="21"/>
      <c r="KM337" s="21"/>
      <c r="KN337" s="21"/>
      <c r="KO337" s="21"/>
      <c r="KP337" s="21"/>
      <c r="KQ337" s="21"/>
      <c r="KR337" s="21"/>
      <c r="KS337" s="21"/>
      <c r="KT337" s="21"/>
      <c r="KU337" s="21"/>
      <c r="KV337" s="21"/>
      <c r="KW337" s="21"/>
      <c r="KX337" s="21"/>
      <c r="KY337" s="21"/>
      <c r="KZ337" s="21"/>
      <c r="LA337" s="168">
        <v>2112000</v>
      </c>
      <c r="LB337" s="168">
        <v>2112000</v>
      </c>
      <c r="LC337" s="21"/>
      <c r="LD337" s="21"/>
      <c r="LE337" s="21"/>
      <c r="LF337" s="21"/>
      <c r="LG337" s="21"/>
      <c r="LH337" s="21"/>
      <c r="LI337" s="21"/>
      <c r="LJ337" s="21"/>
      <c r="LK337" s="168">
        <v>2597000</v>
      </c>
      <c r="LL337" s="168">
        <v>3104000</v>
      </c>
      <c r="LM337" s="21"/>
      <c r="LN337" s="21"/>
      <c r="LO337" s="21"/>
      <c r="LP337" s="21"/>
      <c r="LQ337" s="21"/>
      <c r="LR337" s="21"/>
      <c r="LS337" s="21"/>
      <c r="LT337" s="21"/>
      <c r="LU337" s="21"/>
      <c r="LV337" s="21"/>
      <c r="LW337" s="21"/>
      <c r="LX337" s="21"/>
      <c r="LY337" s="21"/>
      <c r="LZ337" s="21"/>
      <c r="MA337" s="21"/>
      <c r="MB337" s="21"/>
      <c r="MC337" s="21"/>
      <c r="MD337" s="21"/>
      <c r="ME337" s="21"/>
      <c r="MF337" s="21"/>
      <c r="MG337" s="21"/>
      <c r="MH337" s="21"/>
      <c r="MI337" s="21"/>
      <c r="MJ337" s="21"/>
      <c r="MK337" s="21"/>
      <c r="ML337" s="21"/>
      <c r="MM337" s="21"/>
      <c r="MN337" s="21"/>
      <c r="MO337" s="21"/>
      <c r="MP337" s="21"/>
      <c r="MQ337" s="21"/>
      <c r="MR337" s="21"/>
      <c r="MS337" s="21"/>
      <c r="MT337" s="21"/>
      <c r="MU337" s="21"/>
      <c r="MV337" s="21"/>
      <c r="MW337" s="21"/>
      <c r="MX337" s="21"/>
      <c r="MY337" s="21"/>
      <c r="MZ337" s="21"/>
      <c r="NA337" s="21"/>
      <c r="NB337" s="21"/>
      <c r="NC337" s="168">
        <v>743000</v>
      </c>
      <c r="ND337" s="168">
        <v>572000</v>
      </c>
      <c r="NE337" s="21"/>
      <c r="NF337" s="21"/>
      <c r="NG337" s="168">
        <v>6845000</v>
      </c>
      <c r="NH337" s="168">
        <v>6251000</v>
      </c>
      <c r="NI337" s="21"/>
      <c r="NJ337" s="21"/>
      <c r="NK337" s="21"/>
      <c r="NL337" s="21"/>
      <c r="NM337" s="168">
        <v>12683000</v>
      </c>
      <c r="NN337" s="168">
        <v>13583000</v>
      </c>
      <c r="NO337" s="168">
        <v>20882000</v>
      </c>
      <c r="NP337" s="168">
        <v>21220000</v>
      </c>
      <c r="NQ337" s="168" t="s">
        <v>1097</v>
      </c>
      <c r="NR337" s="168" t="s">
        <v>769</v>
      </c>
      <c r="NS337" s="168" t="s">
        <v>770</v>
      </c>
      <c r="NT337" s="168" t="s">
        <v>771</v>
      </c>
      <c r="NU337" s="168">
        <v>1708</v>
      </c>
      <c r="NV337" s="168" t="s">
        <v>2104</v>
      </c>
      <c r="NW337" s="168" t="s">
        <v>28</v>
      </c>
      <c r="NX337" s="168" t="s">
        <v>25</v>
      </c>
      <c r="NY337" s="169">
        <v>42766</v>
      </c>
      <c r="NZ337" s="169">
        <v>42400</v>
      </c>
      <c r="OA337" s="169">
        <v>43013</v>
      </c>
      <c r="OB337" s="168" t="s">
        <v>1098</v>
      </c>
      <c r="OC337" s="168">
        <v>12</v>
      </c>
      <c r="OD337" s="168" t="s">
        <v>2105</v>
      </c>
      <c r="OE337" s="168" t="s">
        <v>2378</v>
      </c>
      <c r="OF337" s="168" t="s">
        <v>2289</v>
      </c>
      <c r="OG337" s="168" t="s">
        <v>1878</v>
      </c>
      <c r="OH337" s="168" t="s">
        <v>783</v>
      </c>
      <c r="OI337" s="168" t="s">
        <v>766</v>
      </c>
      <c r="OJ337" s="168" t="s">
        <v>3240</v>
      </c>
      <c r="OK337" s="168" t="s">
        <v>767</v>
      </c>
    </row>
  </sheetData>
  <pageMargins left="0.78740157499999996" right="0.78740157499999996" top="0.984251969" bottom="0.984251969" header="0.4921259845" footer="0.4921259845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00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2.75" x14ac:dyDescent="0.2"/>
  <cols>
    <col min="1" max="1" width="84" bestFit="1" customWidth="1"/>
    <col min="4" max="4" width="11.42578125" style="21"/>
    <col min="5" max="5" width="19.140625" style="21" bestFit="1" customWidth="1"/>
    <col min="6" max="6" width="50.7109375" customWidth="1"/>
  </cols>
  <sheetData>
    <row r="1" spans="1:8" s="21" customFormat="1" x14ac:dyDescent="0.2">
      <c r="A1" s="21" t="s">
        <v>2731</v>
      </c>
      <c r="B1" s="21" t="s">
        <v>2730</v>
      </c>
      <c r="C1" s="21" t="s">
        <v>3231</v>
      </c>
      <c r="D1" s="21" t="s">
        <v>3232</v>
      </c>
      <c r="E1" s="21" t="s">
        <v>3233</v>
      </c>
      <c r="F1" s="21" t="s">
        <v>3230</v>
      </c>
    </row>
    <row r="2" spans="1:8" ht="15.75" x14ac:dyDescent="0.25">
      <c r="A2" t="s">
        <v>76</v>
      </c>
      <c r="B2" t="s">
        <v>407</v>
      </c>
      <c r="C2" s="21">
        <v>22</v>
      </c>
      <c r="D2" s="21">
        <v>1</v>
      </c>
      <c r="E2" s="21" t="str">
        <f>"=INDEX(Liste;$E$2;"&amp;D2+2&amp;")"</f>
        <v>=INDEX(Liste;$E$2;3)</v>
      </c>
      <c r="F2" s="154" t="s">
        <v>2879</v>
      </c>
      <c r="G2" s="21"/>
      <c r="H2" s="21"/>
    </row>
    <row r="3" spans="1:8" ht="15.75" x14ac:dyDescent="0.25">
      <c r="A3" t="s">
        <v>77</v>
      </c>
      <c r="B3" t="s">
        <v>408</v>
      </c>
      <c r="C3" s="21">
        <v>23</v>
      </c>
      <c r="D3" s="21">
        <v>2</v>
      </c>
      <c r="E3" s="21" t="str">
        <f t="shared" ref="E3:E66" si="0">"=INDEX(Liste;$E$2;"&amp;D3+2&amp;")"</f>
        <v>=INDEX(Liste;$E$2;4)</v>
      </c>
      <c r="F3" s="154" t="s">
        <v>2900</v>
      </c>
      <c r="G3" s="21"/>
      <c r="H3" s="21"/>
    </row>
    <row r="4" spans="1:8" ht="15.75" x14ac:dyDescent="0.25">
      <c r="A4" t="s">
        <v>78</v>
      </c>
      <c r="B4" t="s">
        <v>409</v>
      </c>
      <c r="C4" s="21">
        <v>24</v>
      </c>
      <c r="D4" s="21">
        <v>3</v>
      </c>
      <c r="E4" s="21" t="str">
        <f t="shared" si="0"/>
        <v>=INDEX(Liste;$E$2;5)</v>
      </c>
      <c r="F4" s="154" t="s">
        <v>2901</v>
      </c>
      <c r="G4" s="21"/>
      <c r="H4" s="21"/>
    </row>
    <row r="5" spans="1:8" ht="15.75" x14ac:dyDescent="0.25">
      <c r="A5" t="s">
        <v>79</v>
      </c>
      <c r="B5" t="s">
        <v>410</v>
      </c>
      <c r="C5" s="21">
        <v>25</v>
      </c>
      <c r="D5" s="21">
        <v>4</v>
      </c>
      <c r="E5" s="21" t="str">
        <f t="shared" si="0"/>
        <v>=INDEX(Liste;$E$2;6)</v>
      </c>
      <c r="F5" s="154" t="s">
        <v>2902</v>
      </c>
      <c r="G5" s="21"/>
      <c r="H5" s="21"/>
    </row>
    <row r="6" spans="1:8" ht="15.75" x14ac:dyDescent="0.25">
      <c r="A6" t="s">
        <v>80</v>
      </c>
      <c r="B6" t="s">
        <v>411</v>
      </c>
      <c r="C6" s="21">
        <v>26</v>
      </c>
      <c r="D6" s="21">
        <v>5</v>
      </c>
      <c r="E6" s="21" t="str">
        <f t="shared" si="0"/>
        <v>=INDEX(Liste;$E$2;7)</v>
      </c>
      <c r="F6" s="154" t="s">
        <v>2903</v>
      </c>
      <c r="G6" s="21"/>
      <c r="H6" s="21"/>
    </row>
    <row r="7" spans="1:8" ht="15.75" x14ac:dyDescent="0.25">
      <c r="A7" t="s">
        <v>81</v>
      </c>
      <c r="B7" t="s">
        <v>412</v>
      </c>
      <c r="C7" s="21">
        <v>27</v>
      </c>
      <c r="D7" s="21">
        <v>6</v>
      </c>
      <c r="E7" s="21" t="str">
        <f t="shared" si="0"/>
        <v>=INDEX(Liste;$E$2;8)</v>
      </c>
      <c r="F7" s="154" t="s">
        <v>2904</v>
      </c>
      <c r="G7" s="21"/>
      <c r="H7" s="21"/>
    </row>
    <row r="8" spans="1:8" ht="15.75" x14ac:dyDescent="0.25">
      <c r="A8" t="s">
        <v>82</v>
      </c>
      <c r="B8" t="s">
        <v>413</v>
      </c>
      <c r="C8" s="21">
        <v>28</v>
      </c>
      <c r="D8" s="21">
        <v>7</v>
      </c>
      <c r="E8" s="21" t="str">
        <f t="shared" si="0"/>
        <v>=INDEX(Liste;$E$2;9)</v>
      </c>
      <c r="F8" s="154" t="s">
        <v>2905</v>
      </c>
      <c r="G8" s="21"/>
      <c r="H8" s="21"/>
    </row>
    <row r="9" spans="1:8" ht="15.75" x14ac:dyDescent="0.25">
      <c r="A9" t="s">
        <v>83</v>
      </c>
      <c r="B9" t="s">
        <v>414</v>
      </c>
      <c r="C9" s="21">
        <v>29</v>
      </c>
      <c r="D9" s="21">
        <v>8</v>
      </c>
      <c r="E9" s="21" t="str">
        <f t="shared" si="0"/>
        <v>=INDEX(Liste;$E$2;10)</v>
      </c>
      <c r="F9" s="154" t="s">
        <v>2906</v>
      </c>
      <c r="G9" s="21"/>
      <c r="H9" s="21"/>
    </row>
    <row r="10" spans="1:8" ht="15.75" x14ac:dyDescent="0.25">
      <c r="A10" t="s">
        <v>84</v>
      </c>
      <c r="B10" t="s">
        <v>415</v>
      </c>
      <c r="C10" s="21">
        <v>30</v>
      </c>
      <c r="D10" s="21">
        <v>9</v>
      </c>
      <c r="E10" s="21" t="str">
        <f t="shared" si="0"/>
        <v>=INDEX(Liste;$E$2;11)</v>
      </c>
      <c r="F10" s="154" t="s">
        <v>2907</v>
      </c>
      <c r="G10" s="21"/>
      <c r="H10" s="21"/>
    </row>
    <row r="11" spans="1:8" ht="15.75" x14ac:dyDescent="0.25">
      <c r="A11" t="s">
        <v>85</v>
      </c>
      <c r="B11" t="s">
        <v>416</v>
      </c>
      <c r="C11" s="21">
        <v>31</v>
      </c>
      <c r="D11" s="21">
        <v>10</v>
      </c>
      <c r="E11" s="21" t="str">
        <f t="shared" si="0"/>
        <v>=INDEX(Liste;$E$2;12)</v>
      </c>
      <c r="F11" s="154" t="s">
        <v>85</v>
      </c>
      <c r="G11" s="21"/>
      <c r="H11" s="21"/>
    </row>
    <row r="12" spans="1:8" ht="15.75" x14ac:dyDescent="0.25">
      <c r="A12" t="s">
        <v>2660</v>
      </c>
      <c r="B12" t="s">
        <v>417</v>
      </c>
      <c r="C12" s="21">
        <v>32</v>
      </c>
      <c r="D12" s="21">
        <v>11</v>
      </c>
      <c r="E12" s="21" t="str">
        <f t="shared" si="0"/>
        <v>=INDEX(Liste;$E$2;13)</v>
      </c>
      <c r="F12" s="154" t="s">
        <v>2908</v>
      </c>
      <c r="G12" s="21"/>
      <c r="H12" s="21"/>
    </row>
    <row r="13" spans="1:8" ht="15.75" x14ac:dyDescent="0.25">
      <c r="A13" t="s">
        <v>2661</v>
      </c>
      <c r="B13" t="s">
        <v>418</v>
      </c>
      <c r="C13" s="21">
        <v>33</v>
      </c>
      <c r="D13" s="21">
        <v>12</v>
      </c>
      <c r="E13" s="21" t="str">
        <f t="shared" si="0"/>
        <v>=INDEX(Liste;$E$2;14)</v>
      </c>
      <c r="F13" s="154" t="s">
        <v>2909</v>
      </c>
      <c r="G13" s="21"/>
      <c r="H13" s="21"/>
    </row>
    <row r="14" spans="1:8" ht="15.75" x14ac:dyDescent="0.25">
      <c r="A14" t="s">
        <v>2662</v>
      </c>
      <c r="B14" t="s">
        <v>419</v>
      </c>
      <c r="C14" s="21">
        <v>34</v>
      </c>
      <c r="D14" s="21">
        <v>13</v>
      </c>
      <c r="E14" s="21" t="str">
        <f t="shared" si="0"/>
        <v>=INDEX(Liste;$E$2;15)</v>
      </c>
      <c r="F14" s="154" t="s">
        <v>2910</v>
      </c>
      <c r="G14" s="21"/>
      <c r="H14" s="21"/>
    </row>
    <row r="15" spans="1:8" ht="15.75" x14ac:dyDescent="0.25">
      <c r="A15" t="s">
        <v>2663</v>
      </c>
      <c r="B15" t="s">
        <v>420</v>
      </c>
      <c r="C15" s="21">
        <v>35</v>
      </c>
      <c r="D15" s="21">
        <v>14</v>
      </c>
      <c r="E15" s="21" t="str">
        <f t="shared" si="0"/>
        <v>=INDEX(Liste;$E$2;16)</v>
      </c>
      <c r="F15" s="154" t="s">
        <v>2911</v>
      </c>
      <c r="G15" s="21"/>
      <c r="H15" s="21"/>
    </row>
    <row r="16" spans="1:8" ht="15.75" x14ac:dyDescent="0.25">
      <c r="A16" t="s">
        <v>86</v>
      </c>
      <c r="B16" t="s">
        <v>421</v>
      </c>
      <c r="C16" s="21">
        <v>36</v>
      </c>
      <c r="D16" s="21">
        <v>15</v>
      </c>
      <c r="E16" s="21" t="str">
        <f t="shared" si="0"/>
        <v>=INDEX(Liste;$E$2;17)</v>
      </c>
      <c r="F16" s="154" t="s">
        <v>2912</v>
      </c>
      <c r="G16" s="21"/>
      <c r="H16" s="21"/>
    </row>
    <row r="17" spans="1:8" ht="15.75" x14ac:dyDescent="0.25">
      <c r="A17" t="s">
        <v>87</v>
      </c>
      <c r="B17" t="s">
        <v>422</v>
      </c>
      <c r="C17" s="21">
        <v>37</v>
      </c>
      <c r="D17" s="21">
        <v>16</v>
      </c>
      <c r="E17" s="21" t="str">
        <f t="shared" si="0"/>
        <v>=INDEX(Liste;$E$2;18)</v>
      </c>
      <c r="F17" s="154" t="s">
        <v>2913</v>
      </c>
      <c r="G17" s="21"/>
      <c r="H17" s="21"/>
    </row>
    <row r="18" spans="1:8" ht="15.75" x14ac:dyDescent="0.25">
      <c r="A18" t="s">
        <v>88</v>
      </c>
      <c r="B18" t="s">
        <v>423</v>
      </c>
      <c r="C18" s="21">
        <v>38</v>
      </c>
      <c r="D18" s="21">
        <v>17</v>
      </c>
      <c r="E18" s="21" t="str">
        <f t="shared" si="0"/>
        <v>=INDEX(Liste;$E$2;19)</v>
      </c>
      <c r="F18" s="154" t="s">
        <v>2914</v>
      </c>
      <c r="G18" s="21"/>
      <c r="H18" s="21"/>
    </row>
    <row r="19" spans="1:8" ht="15.75" x14ac:dyDescent="0.25">
      <c r="A19" t="s">
        <v>89</v>
      </c>
      <c r="B19" t="s">
        <v>424</v>
      </c>
      <c r="C19" s="21">
        <v>39</v>
      </c>
      <c r="D19" s="21">
        <v>18</v>
      </c>
      <c r="E19" s="21" t="str">
        <f t="shared" si="0"/>
        <v>=INDEX(Liste;$E$2;20)</v>
      </c>
      <c r="F19" s="154" t="s">
        <v>89</v>
      </c>
      <c r="G19" s="21"/>
      <c r="H19" s="21"/>
    </row>
    <row r="20" spans="1:8" ht="15.75" x14ac:dyDescent="0.25">
      <c r="A20" t="s">
        <v>90</v>
      </c>
      <c r="B20" t="s">
        <v>425</v>
      </c>
      <c r="C20" s="21">
        <v>40</v>
      </c>
      <c r="D20" s="21">
        <v>19</v>
      </c>
      <c r="E20" s="21" t="str">
        <f t="shared" si="0"/>
        <v>=INDEX(Liste;$E$2;21)</v>
      </c>
      <c r="F20" s="154" t="s">
        <v>2915</v>
      </c>
      <c r="G20" s="21"/>
      <c r="H20" s="21"/>
    </row>
    <row r="21" spans="1:8" ht="15.75" x14ac:dyDescent="0.25">
      <c r="A21" t="s">
        <v>91</v>
      </c>
      <c r="B21" t="s">
        <v>426</v>
      </c>
      <c r="C21" s="21">
        <v>41</v>
      </c>
      <c r="D21" s="21">
        <v>20</v>
      </c>
      <c r="E21" s="21" t="str">
        <f t="shared" si="0"/>
        <v>=INDEX(Liste;$E$2;22)</v>
      </c>
      <c r="F21" s="154" t="s">
        <v>2916</v>
      </c>
      <c r="G21" s="21"/>
      <c r="H21" s="21"/>
    </row>
    <row r="22" spans="1:8" ht="15.75" x14ac:dyDescent="0.25">
      <c r="A22" t="s">
        <v>92</v>
      </c>
      <c r="B22" t="s">
        <v>427</v>
      </c>
      <c r="C22" s="21">
        <v>42</v>
      </c>
      <c r="D22" s="21">
        <v>21</v>
      </c>
      <c r="E22" s="21" t="str">
        <f t="shared" si="0"/>
        <v>=INDEX(Liste;$E$2;23)</v>
      </c>
      <c r="F22" s="154" t="s">
        <v>2917</v>
      </c>
      <c r="G22" s="21"/>
      <c r="H22" s="21"/>
    </row>
    <row r="23" spans="1:8" ht="15.75" x14ac:dyDescent="0.25">
      <c r="A23" t="s">
        <v>93</v>
      </c>
      <c r="B23" t="s">
        <v>428</v>
      </c>
      <c r="C23" s="21">
        <v>43</v>
      </c>
      <c r="D23" s="21">
        <v>22</v>
      </c>
      <c r="E23" s="21" t="str">
        <f t="shared" si="0"/>
        <v>=INDEX(Liste;$E$2;24)</v>
      </c>
      <c r="F23" s="154" t="s">
        <v>93</v>
      </c>
      <c r="G23" s="21"/>
      <c r="H23" s="21"/>
    </row>
    <row r="24" spans="1:8" ht="15.75" x14ac:dyDescent="0.25">
      <c r="A24" t="s">
        <v>94</v>
      </c>
      <c r="B24" t="s">
        <v>429</v>
      </c>
      <c r="C24" s="21">
        <v>44</v>
      </c>
      <c r="D24" s="21">
        <v>23</v>
      </c>
      <c r="E24" s="21" t="str">
        <f t="shared" si="0"/>
        <v>=INDEX(Liste;$E$2;25)</v>
      </c>
      <c r="F24" s="154" t="s">
        <v>2918</v>
      </c>
      <c r="G24" s="21"/>
      <c r="H24" s="21"/>
    </row>
    <row r="25" spans="1:8" ht="15.75" x14ac:dyDescent="0.25">
      <c r="A25" t="s">
        <v>95</v>
      </c>
      <c r="B25" t="s">
        <v>430</v>
      </c>
      <c r="C25" s="21">
        <v>45</v>
      </c>
      <c r="D25" s="21">
        <v>24</v>
      </c>
      <c r="E25" s="21" t="str">
        <f t="shared" si="0"/>
        <v>=INDEX(Liste;$E$2;26)</v>
      </c>
      <c r="F25" s="154" t="s">
        <v>2919</v>
      </c>
      <c r="G25" s="21"/>
      <c r="H25" s="21"/>
    </row>
    <row r="26" spans="1:8" ht="15.75" x14ac:dyDescent="0.25">
      <c r="A26" t="s">
        <v>96</v>
      </c>
      <c r="B26" t="s">
        <v>431</v>
      </c>
      <c r="C26" s="21">
        <v>46</v>
      </c>
      <c r="D26" s="21">
        <v>25</v>
      </c>
      <c r="E26" s="21" t="str">
        <f t="shared" si="0"/>
        <v>=INDEX(Liste;$E$2;27)</v>
      </c>
      <c r="F26" s="154" t="s">
        <v>2920</v>
      </c>
      <c r="G26" s="21"/>
      <c r="H26" s="21"/>
    </row>
    <row r="27" spans="1:8" ht="15.75" x14ac:dyDescent="0.25">
      <c r="A27" t="s">
        <v>97</v>
      </c>
      <c r="B27" t="s">
        <v>432</v>
      </c>
      <c r="C27" s="21">
        <v>47</v>
      </c>
      <c r="D27" s="21">
        <v>26</v>
      </c>
      <c r="E27" s="21" t="str">
        <f t="shared" si="0"/>
        <v>=INDEX(Liste;$E$2;28)</v>
      </c>
      <c r="F27" s="154" t="s">
        <v>2921</v>
      </c>
      <c r="G27" s="21"/>
      <c r="H27" s="21"/>
    </row>
    <row r="28" spans="1:8" ht="15.75" x14ac:dyDescent="0.25">
      <c r="A28" t="s">
        <v>98</v>
      </c>
      <c r="B28" t="s">
        <v>433</v>
      </c>
      <c r="C28" s="21">
        <v>48</v>
      </c>
      <c r="D28" s="21">
        <v>27</v>
      </c>
      <c r="E28" s="21" t="str">
        <f t="shared" si="0"/>
        <v>=INDEX(Liste;$E$2;29)</v>
      </c>
      <c r="F28" s="154" t="s">
        <v>2922</v>
      </c>
      <c r="G28" s="21"/>
      <c r="H28" s="21"/>
    </row>
    <row r="29" spans="1:8" ht="15.75" x14ac:dyDescent="0.25">
      <c r="A29" t="s">
        <v>99</v>
      </c>
      <c r="B29" t="s">
        <v>434</v>
      </c>
      <c r="C29" s="21">
        <v>49</v>
      </c>
      <c r="D29" s="21">
        <v>28</v>
      </c>
      <c r="E29" s="21" t="str">
        <f t="shared" si="0"/>
        <v>=INDEX(Liste;$E$2;30)</v>
      </c>
      <c r="F29" s="154" t="s">
        <v>2923</v>
      </c>
      <c r="G29" s="21"/>
      <c r="H29" s="21"/>
    </row>
    <row r="30" spans="1:8" ht="15.75" x14ac:dyDescent="0.25">
      <c r="A30" t="s">
        <v>100</v>
      </c>
      <c r="B30" t="s">
        <v>435</v>
      </c>
      <c r="C30" s="21">
        <v>50</v>
      </c>
      <c r="D30" s="21">
        <v>29</v>
      </c>
      <c r="E30" s="21" t="str">
        <f t="shared" si="0"/>
        <v>=INDEX(Liste;$E$2;31)</v>
      </c>
      <c r="F30" s="154" t="s">
        <v>2924</v>
      </c>
      <c r="G30" s="21"/>
      <c r="H30" s="21"/>
    </row>
    <row r="31" spans="1:8" ht="15.75" x14ac:dyDescent="0.25">
      <c r="A31" t="s">
        <v>101</v>
      </c>
      <c r="B31" t="s">
        <v>436</v>
      </c>
      <c r="C31" s="21">
        <v>51</v>
      </c>
      <c r="D31" s="21">
        <v>30</v>
      </c>
      <c r="E31" s="21" t="str">
        <f t="shared" si="0"/>
        <v>=INDEX(Liste;$E$2;32)</v>
      </c>
      <c r="F31" s="154" t="s">
        <v>101</v>
      </c>
      <c r="G31" s="21"/>
      <c r="H31" s="21"/>
    </row>
    <row r="32" spans="1:8" ht="15.75" x14ac:dyDescent="0.25">
      <c r="A32" t="s">
        <v>102</v>
      </c>
      <c r="B32" t="s">
        <v>437</v>
      </c>
      <c r="C32" s="21">
        <v>52</v>
      </c>
      <c r="D32" s="21">
        <v>31</v>
      </c>
      <c r="E32" s="21" t="str">
        <f t="shared" si="0"/>
        <v>=INDEX(Liste;$E$2;33)</v>
      </c>
      <c r="F32" s="154" t="s">
        <v>2925</v>
      </c>
      <c r="G32" s="21"/>
      <c r="H32" s="21"/>
    </row>
    <row r="33" spans="1:8" ht="15.75" x14ac:dyDescent="0.25">
      <c r="A33" t="s">
        <v>103</v>
      </c>
      <c r="B33" t="s">
        <v>438</v>
      </c>
      <c r="C33" s="21">
        <v>53</v>
      </c>
      <c r="D33" s="21">
        <v>32</v>
      </c>
      <c r="E33" s="21" t="str">
        <f t="shared" si="0"/>
        <v>=INDEX(Liste;$E$2;34)</v>
      </c>
      <c r="F33" s="154" t="s">
        <v>2926</v>
      </c>
      <c r="G33" s="21"/>
      <c r="H33" s="21"/>
    </row>
    <row r="34" spans="1:8" ht="15.75" x14ac:dyDescent="0.25">
      <c r="A34" t="s">
        <v>104</v>
      </c>
      <c r="B34" t="s">
        <v>439</v>
      </c>
      <c r="C34" s="21">
        <v>54</v>
      </c>
      <c r="D34" s="21">
        <v>33</v>
      </c>
      <c r="E34" s="21" t="str">
        <f t="shared" si="0"/>
        <v>=INDEX(Liste;$E$2;35)</v>
      </c>
      <c r="F34" s="154" t="s">
        <v>2927</v>
      </c>
      <c r="G34" s="21"/>
      <c r="H34" s="21"/>
    </row>
    <row r="35" spans="1:8" ht="15.75" x14ac:dyDescent="0.25">
      <c r="A35" t="s">
        <v>105</v>
      </c>
      <c r="B35" t="s">
        <v>440</v>
      </c>
      <c r="C35" s="21">
        <v>55</v>
      </c>
      <c r="D35" s="21">
        <v>34</v>
      </c>
      <c r="E35" s="21" t="str">
        <f t="shared" si="0"/>
        <v>=INDEX(Liste;$E$2;36)</v>
      </c>
      <c r="F35" s="154" t="s">
        <v>105</v>
      </c>
      <c r="G35" s="21"/>
      <c r="H35" s="21"/>
    </row>
    <row r="36" spans="1:8" ht="15.75" x14ac:dyDescent="0.25">
      <c r="A36" t="s">
        <v>106</v>
      </c>
      <c r="B36" t="s">
        <v>441</v>
      </c>
      <c r="C36" s="21">
        <v>56</v>
      </c>
      <c r="D36" s="21">
        <v>35</v>
      </c>
      <c r="E36" s="21" t="str">
        <f t="shared" si="0"/>
        <v>=INDEX(Liste;$E$2;37)</v>
      </c>
      <c r="F36" s="154" t="s">
        <v>2928</v>
      </c>
      <c r="G36" s="21"/>
      <c r="H36" s="21"/>
    </row>
    <row r="37" spans="1:8" ht="15.75" x14ac:dyDescent="0.25">
      <c r="A37" t="s">
        <v>107</v>
      </c>
      <c r="B37" t="s">
        <v>442</v>
      </c>
      <c r="C37" s="21">
        <v>57</v>
      </c>
      <c r="D37" s="21">
        <v>36</v>
      </c>
      <c r="E37" s="21" t="str">
        <f t="shared" si="0"/>
        <v>=INDEX(Liste;$E$2;38)</v>
      </c>
      <c r="F37" s="154" t="s">
        <v>2929</v>
      </c>
      <c r="G37" s="21"/>
      <c r="H37" s="21"/>
    </row>
    <row r="38" spans="1:8" ht="15.75" x14ac:dyDescent="0.25">
      <c r="A38" t="s">
        <v>108</v>
      </c>
      <c r="B38" t="s">
        <v>443</v>
      </c>
      <c r="C38" s="21">
        <v>58</v>
      </c>
      <c r="D38" s="21">
        <v>37</v>
      </c>
      <c r="E38" s="21" t="str">
        <f t="shared" si="0"/>
        <v>=INDEX(Liste;$E$2;39)</v>
      </c>
      <c r="F38" s="154" t="s">
        <v>2930</v>
      </c>
      <c r="G38" s="21"/>
      <c r="H38" s="21"/>
    </row>
    <row r="39" spans="1:8" ht="15.75" x14ac:dyDescent="0.25">
      <c r="A39" t="s">
        <v>109</v>
      </c>
      <c r="B39" t="s">
        <v>444</v>
      </c>
      <c r="C39" s="21">
        <v>59</v>
      </c>
      <c r="D39" s="21">
        <v>38</v>
      </c>
      <c r="E39" s="21" t="str">
        <f t="shared" si="0"/>
        <v>=INDEX(Liste;$E$2;40)</v>
      </c>
      <c r="F39" s="154" t="s">
        <v>2931</v>
      </c>
      <c r="G39" s="21"/>
      <c r="H39" s="21"/>
    </row>
    <row r="40" spans="1:8" ht="15.75" x14ac:dyDescent="0.25">
      <c r="A40" t="s">
        <v>110</v>
      </c>
      <c r="B40" t="s">
        <v>445</v>
      </c>
      <c r="C40" s="21">
        <v>60</v>
      </c>
      <c r="D40" s="21">
        <v>39</v>
      </c>
      <c r="E40" s="21" t="str">
        <f t="shared" si="0"/>
        <v>=INDEX(Liste;$E$2;41)</v>
      </c>
      <c r="F40" s="154" t="s">
        <v>2932</v>
      </c>
      <c r="G40" s="21"/>
      <c r="H40" s="21"/>
    </row>
    <row r="41" spans="1:8" ht="15.75" x14ac:dyDescent="0.25">
      <c r="A41" t="s">
        <v>111</v>
      </c>
      <c r="B41" t="s">
        <v>446</v>
      </c>
      <c r="C41" s="21">
        <v>61</v>
      </c>
      <c r="D41" s="21">
        <v>40</v>
      </c>
      <c r="E41" s="21" t="str">
        <f t="shared" si="0"/>
        <v>=INDEX(Liste;$E$2;42)</v>
      </c>
      <c r="F41" s="154" t="s">
        <v>2933</v>
      </c>
      <c r="G41" s="21"/>
      <c r="H41" s="21"/>
    </row>
    <row r="42" spans="1:8" ht="15.75" x14ac:dyDescent="0.25">
      <c r="A42" t="s">
        <v>112</v>
      </c>
      <c r="B42" t="s">
        <v>447</v>
      </c>
      <c r="C42" s="21">
        <v>62</v>
      </c>
      <c r="D42" s="21">
        <v>41</v>
      </c>
      <c r="E42" s="21" t="str">
        <f t="shared" si="0"/>
        <v>=INDEX(Liste;$E$2;43)</v>
      </c>
      <c r="F42" s="154" t="s">
        <v>2934</v>
      </c>
      <c r="G42" s="21"/>
      <c r="H42" s="21"/>
    </row>
    <row r="43" spans="1:8" ht="15.75" x14ac:dyDescent="0.25">
      <c r="A43" t="s">
        <v>113</v>
      </c>
      <c r="B43" t="s">
        <v>448</v>
      </c>
      <c r="C43" s="21">
        <v>63</v>
      </c>
      <c r="D43" s="21">
        <v>42</v>
      </c>
      <c r="E43" s="21" t="str">
        <f t="shared" si="0"/>
        <v>=INDEX(Liste;$E$2;44)</v>
      </c>
      <c r="F43" s="154" t="s">
        <v>2935</v>
      </c>
      <c r="G43" s="21"/>
      <c r="H43" s="21"/>
    </row>
    <row r="44" spans="1:8" ht="15.75" x14ac:dyDescent="0.25">
      <c r="A44" t="s">
        <v>114</v>
      </c>
      <c r="B44" t="s">
        <v>449</v>
      </c>
      <c r="C44" s="21">
        <v>64</v>
      </c>
      <c r="D44" s="21">
        <v>43</v>
      </c>
      <c r="E44" s="21" t="str">
        <f t="shared" si="0"/>
        <v>=INDEX(Liste;$E$2;45)</v>
      </c>
      <c r="F44" s="154" t="s">
        <v>2936</v>
      </c>
      <c r="G44" s="21"/>
      <c r="H44" s="21"/>
    </row>
    <row r="45" spans="1:8" ht="15.75" x14ac:dyDescent="0.25">
      <c r="A45" t="s">
        <v>115</v>
      </c>
      <c r="B45" t="s">
        <v>450</v>
      </c>
      <c r="C45" s="21">
        <v>65</v>
      </c>
      <c r="D45" s="21">
        <v>44</v>
      </c>
      <c r="E45" s="21" t="str">
        <f t="shared" si="0"/>
        <v>=INDEX(Liste;$E$2;46)</v>
      </c>
      <c r="F45" s="154" t="s">
        <v>2937</v>
      </c>
      <c r="G45" s="21"/>
      <c r="H45" s="21"/>
    </row>
    <row r="46" spans="1:8" ht="15.75" x14ac:dyDescent="0.25">
      <c r="A46" t="s">
        <v>116</v>
      </c>
      <c r="B46" t="s">
        <v>449</v>
      </c>
      <c r="C46" s="21">
        <v>66</v>
      </c>
      <c r="D46" s="21">
        <v>43</v>
      </c>
      <c r="E46" s="21" t="str">
        <f t="shared" si="0"/>
        <v>=INDEX(Liste;$E$2;45)</v>
      </c>
      <c r="F46" s="154" t="s">
        <v>2938</v>
      </c>
      <c r="G46" s="21"/>
      <c r="H46" s="21"/>
    </row>
    <row r="47" spans="1:8" ht="15.75" x14ac:dyDescent="0.25">
      <c r="A47" t="s">
        <v>117</v>
      </c>
      <c r="B47" t="s">
        <v>451</v>
      </c>
      <c r="C47" s="21">
        <v>67</v>
      </c>
      <c r="D47" s="21">
        <v>46</v>
      </c>
      <c r="E47" s="21" t="str">
        <f t="shared" si="0"/>
        <v>=INDEX(Liste;$E$2;48)</v>
      </c>
      <c r="F47" s="154" t="s">
        <v>2939</v>
      </c>
      <c r="G47" s="21"/>
      <c r="H47" s="21"/>
    </row>
    <row r="48" spans="1:8" ht="15.75" x14ac:dyDescent="0.25">
      <c r="A48" t="s">
        <v>118</v>
      </c>
      <c r="B48" t="s">
        <v>452</v>
      </c>
      <c r="C48" s="21">
        <v>68</v>
      </c>
      <c r="D48" s="21">
        <v>47</v>
      </c>
      <c r="E48" s="21" t="str">
        <f t="shared" si="0"/>
        <v>=INDEX(Liste;$E$2;49)</v>
      </c>
      <c r="F48" s="154" t="s">
        <v>2940</v>
      </c>
      <c r="G48" s="21"/>
      <c r="H48" s="21"/>
    </row>
    <row r="49" spans="1:8" ht="15.75" x14ac:dyDescent="0.25">
      <c r="A49" t="s">
        <v>119</v>
      </c>
      <c r="B49" t="s">
        <v>451</v>
      </c>
      <c r="C49" s="21">
        <v>69</v>
      </c>
      <c r="D49" s="21">
        <v>46</v>
      </c>
      <c r="E49" s="21" t="str">
        <f t="shared" si="0"/>
        <v>=INDEX(Liste;$E$2;48)</v>
      </c>
      <c r="F49" s="154" t="s">
        <v>2941</v>
      </c>
      <c r="G49" s="21"/>
      <c r="H49" s="21"/>
    </row>
    <row r="50" spans="1:8" ht="15.75" x14ac:dyDescent="0.25">
      <c r="A50" t="s">
        <v>120</v>
      </c>
      <c r="B50" t="s">
        <v>453</v>
      </c>
      <c r="C50" s="21">
        <v>70</v>
      </c>
      <c r="D50" s="21">
        <v>49</v>
      </c>
      <c r="E50" s="21" t="str">
        <f t="shared" si="0"/>
        <v>=INDEX(Liste;$E$2;51)</v>
      </c>
      <c r="F50" s="154" t="s">
        <v>2942</v>
      </c>
      <c r="G50" s="21"/>
      <c r="H50" s="21"/>
    </row>
    <row r="51" spans="1:8" ht="15.75" x14ac:dyDescent="0.25">
      <c r="A51" t="s">
        <v>121</v>
      </c>
      <c r="B51" t="s">
        <v>454</v>
      </c>
      <c r="C51" s="21">
        <v>71</v>
      </c>
      <c r="D51" s="21">
        <v>50</v>
      </c>
      <c r="E51" s="21" t="str">
        <f t="shared" si="0"/>
        <v>=INDEX(Liste;$E$2;52)</v>
      </c>
      <c r="F51" s="154" t="s">
        <v>2943</v>
      </c>
      <c r="G51" s="21"/>
      <c r="H51" s="21"/>
    </row>
    <row r="52" spans="1:8" ht="15.75" x14ac:dyDescent="0.25">
      <c r="A52" t="s">
        <v>122</v>
      </c>
      <c r="B52" t="s">
        <v>455</v>
      </c>
      <c r="C52" s="21">
        <v>72</v>
      </c>
      <c r="D52" s="21">
        <v>51</v>
      </c>
      <c r="E52" s="21" t="str">
        <f t="shared" si="0"/>
        <v>=INDEX(Liste;$E$2;53)</v>
      </c>
      <c r="F52" s="154" t="s">
        <v>2944</v>
      </c>
      <c r="G52" s="21"/>
      <c r="H52" s="21"/>
    </row>
    <row r="53" spans="1:8" ht="15.75" x14ac:dyDescent="0.25">
      <c r="A53" t="s">
        <v>123</v>
      </c>
      <c r="B53" t="s">
        <v>456</v>
      </c>
      <c r="C53" s="21">
        <v>73</v>
      </c>
      <c r="D53" s="21">
        <v>52</v>
      </c>
      <c r="E53" s="21" t="str">
        <f t="shared" si="0"/>
        <v>=INDEX(Liste;$E$2;54)</v>
      </c>
      <c r="F53" s="154" t="s">
        <v>2945</v>
      </c>
      <c r="G53" s="21"/>
      <c r="H53" s="21"/>
    </row>
    <row r="54" spans="1:8" ht="15.75" x14ac:dyDescent="0.25">
      <c r="A54" t="s">
        <v>124</v>
      </c>
      <c r="B54" t="s">
        <v>457</v>
      </c>
      <c r="C54" s="21">
        <v>74</v>
      </c>
      <c r="D54" s="21">
        <v>53</v>
      </c>
      <c r="E54" s="21" t="str">
        <f t="shared" si="0"/>
        <v>=INDEX(Liste;$E$2;55)</v>
      </c>
      <c r="F54" s="154" t="s">
        <v>2946</v>
      </c>
      <c r="G54" s="21"/>
      <c r="H54" s="21"/>
    </row>
    <row r="55" spans="1:8" ht="15.75" x14ac:dyDescent="0.25">
      <c r="A55" t="s">
        <v>125</v>
      </c>
      <c r="B55" t="s">
        <v>458</v>
      </c>
      <c r="C55" s="21">
        <v>75</v>
      </c>
      <c r="D55" s="21">
        <v>54</v>
      </c>
      <c r="E55" s="21" t="str">
        <f t="shared" si="0"/>
        <v>=INDEX(Liste;$E$2;56)</v>
      </c>
      <c r="F55" s="154" t="s">
        <v>2947</v>
      </c>
      <c r="G55" s="21"/>
      <c r="H55" s="21"/>
    </row>
    <row r="56" spans="1:8" ht="15.75" x14ac:dyDescent="0.25">
      <c r="A56" t="s">
        <v>126</v>
      </c>
      <c r="B56" t="s">
        <v>459</v>
      </c>
      <c r="C56" s="21">
        <v>76</v>
      </c>
      <c r="D56" s="21">
        <v>55</v>
      </c>
      <c r="E56" s="21" t="str">
        <f t="shared" si="0"/>
        <v>=INDEX(Liste;$E$2;57)</v>
      </c>
      <c r="F56" s="154" t="s">
        <v>2948</v>
      </c>
      <c r="G56" s="21"/>
      <c r="H56" s="21"/>
    </row>
    <row r="57" spans="1:8" ht="15.75" x14ac:dyDescent="0.25">
      <c r="A57" t="s">
        <v>127</v>
      </c>
      <c r="B57" t="s">
        <v>460</v>
      </c>
      <c r="C57" s="21">
        <v>77</v>
      </c>
      <c r="D57" s="21">
        <v>56</v>
      </c>
      <c r="E57" s="21" t="str">
        <f t="shared" si="0"/>
        <v>=INDEX(Liste;$E$2;58)</v>
      </c>
      <c r="F57" s="154" t="s">
        <v>2949</v>
      </c>
      <c r="G57" s="21"/>
      <c r="H57" s="21"/>
    </row>
    <row r="58" spans="1:8" ht="15.75" x14ac:dyDescent="0.25">
      <c r="A58" t="s">
        <v>128</v>
      </c>
      <c r="B58" t="s">
        <v>461</v>
      </c>
      <c r="C58" s="21">
        <v>78</v>
      </c>
      <c r="D58" s="21">
        <v>57</v>
      </c>
      <c r="E58" s="21" t="str">
        <f t="shared" si="0"/>
        <v>=INDEX(Liste;$E$2;59)</v>
      </c>
      <c r="F58" s="154" t="s">
        <v>2950</v>
      </c>
      <c r="G58" s="21"/>
      <c r="H58" s="21"/>
    </row>
    <row r="59" spans="1:8" ht="15.75" x14ac:dyDescent="0.25">
      <c r="A59" t="s">
        <v>129</v>
      </c>
      <c r="B59" t="s">
        <v>462</v>
      </c>
      <c r="C59" s="21">
        <v>79</v>
      </c>
      <c r="D59" s="21">
        <v>58</v>
      </c>
      <c r="E59" s="21" t="str">
        <f t="shared" si="0"/>
        <v>=INDEX(Liste;$E$2;60)</v>
      </c>
      <c r="F59" s="154" t="s">
        <v>2951</v>
      </c>
      <c r="G59" s="21"/>
      <c r="H59" s="21"/>
    </row>
    <row r="60" spans="1:8" ht="15.75" x14ac:dyDescent="0.25">
      <c r="A60" t="s">
        <v>130</v>
      </c>
      <c r="B60" t="s">
        <v>463</v>
      </c>
      <c r="C60" s="21">
        <v>80</v>
      </c>
      <c r="D60" s="21">
        <v>59</v>
      </c>
      <c r="E60" s="21" t="str">
        <f t="shared" si="0"/>
        <v>=INDEX(Liste;$E$2;61)</v>
      </c>
      <c r="F60" s="154" t="s">
        <v>2952</v>
      </c>
      <c r="G60" s="21"/>
      <c r="H60" s="21"/>
    </row>
    <row r="61" spans="1:8" ht="15.75" x14ac:dyDescent="0.25">
      <c r="A61" t="s">
        <v>131</v>
      </c>
      <c r="B61" t="s">
        <v>464</v>
      </c>
      <c r="C61" s="21">
        <v>81</v>
      </c>
      <c r="D61" s="21">
        <v>60</v>
      </c>
      <c r="E61" s="21" t="str">
        <f t="shared" si="0"/>
        <v>=INDEX(Liste;$E$2;62)</v>
      </c>
      <c r="F61" s="154" t="s">
        <v>131</v>
      </c>
      <c r="G61" s="21"/>
      <c r="H61" s="21"/>
    </row>
    <row r="62" spans="1:8" ht="15.75" x14ac:dyDescent="0.25">
      <c r="A62" t="s">
        <v>132</v>
      </c>
      <c r="B62" t="s">
        <v>465</v>
      </c>
      <c r="C62" s="21">
        <v>82</v>
      </c>
      <c r="D62" s="21">
        <v>61</v>
      </c>
      <c r="E62" s="21" t="str">
        <f t="shared" si="0"/>
        <v>=INDEX(Liste;$E$2;63)</v>
      </c>
      <c r="F62" s="154" t="s">
        <v>2953</v>
      </c>
      <c r="G62" s="21"/>
      <c r="H62" s="21"/>
    </row>
    <row r="63" spans="1:8" ht="15.75" x14ac:dyDescent="0.25">
      <c r="A63" t="s">
        <v>133</v>
      </c>
      <c r="B63" t="s">
        <v>466</v>
      </c>
      <c r="C63" s="21">
        <v>83</v>
      </c>
      <c r="D63" s="21">
        <v>62</v>
      </c>
      <c r="E63" s="21" t="str">
        <f t="shared" si="0"/>
        <v>=INDEX(Liste;$E$2;64)</v>
      </c>
      <c r="F63" s="154" t="s">
        <v>2954</v>
      </c>
      <c r="G63" s="21"/>
      <c r="H63" s="21"/>
    </row>
    <row r="64" spans="1:8" ht="15.75" x14ac:dyDescent="0.25">
      <c r="A64" t="s">
        <v>134</v>
      </c>
      <c r="B64" t="s">
        <v>467</v>
      </c>
      <c r="C64" s="21">
        <v>84</v>
      </c>
      <c r="D64" s="21">
        <v>63</v>
      </c>
      <c r="E64" s="21" t="str">
        <f t="shared" si="0"/>
        <v>=INDEX(Liste;$E$2;65)</v>
      </c>
      <c r="F64" s="154" t="s">
        <v>2955</v>
      </c>
      <c r="G64" s="21"/>
      <c r="H64" s="21"/>
    </row>
    <row r="65" spans="1:8" ht="15.75" x14ac:dyDescent="0.25">
      <c r="A65" t="s">
        <v>135</v>
      </c>
      <c r="B65" t="s">
        <v>468</v>
      </c>
      <c r="C65" s="21">
        <v>85</v>
      </c>
      <c r="D65" s="21">
        <v>64</v>
      </c>
      <c r="E65" s="21" t="str">
        <f t="shared" si="0"/>
        <v>=INDEX(Liste;$E$2;66)</v>
      </c>
      <c r="F65" s="154" t="s">
        <v>135</v>
      </c>
      <c r="G65" s="21"/>
      <c r="H65" s="21"/>
    </row>
    <row r="66" spans="1:8" ht="15.75" x14ac:dyDescent="0.25">
      <c r="A66" t="s">
        <v>136</v>
      </c>
      <c r="B66" t="s">
        <v>469</v>
      </c>
      <c r="C66" s="21">
        <v>86</v>
      </c>
      <c r="D66" s="21">
        <v>65</v>
      </c>
      <c r="E66" s="21" t="str">
        <f t="shared" si="0"/>
        <v>=INDEX(Liste;$E$2;67)</v>
      </c>
      <c r="F66" s="154" t="s">
        <v>2956</v>
      </c>
      <c r="G66" s="21"/>
      <c r="H66" s="21"/>
    </row>
    <row r="67" spans="1:8" ht="15.75" x14ac:dyDescent="0.25">
      <c r="A67" t="s">
        <v>137</v>
      </c>
      <c r="B67" t="s">
        <v>470</v>
      </c>
      <c r="C67" s="21">
        <v>87</v>
      </c>
      <c r="D67" s="21">
        <v>66</v>
      </c>
      <c r="E67" s="21" t="str">
        <f t="shared" ref="E67:E130" si="1">"=INDEX(Liste;$E$2;"&amp;D67+2&amp;")"</f>
        <v>=INDEX(Liste;$E$2;68)</v>
      </c>
      <c r="F67" s="154" t="s">
        <v>2957</v>
      </c>
      <c r="G67" s="21"/>
      <c r="H67" s="21"/>
    </row>
    <row r="68" spans="1:8" ht="15.75" x14ac:dyDescent="0.25">
      <c r="A68" t="s">
        <v>138</v>
      </c>
      <c r="B68" t="s">
        <v>471</v>
      </c>
      <c r="C68" s="21">
        <v>88</v>
      </c>
      <c r="D68" s="21">
        <v>67</v>
      </c>
      <c r="E68" s="21" t="str">
        <f t="shared" si="1"/>
        <v>=INDEX(Liste;$E$2;69)</v>
      </c>
      <c r="F68" s="154" t="s">
        <v>2958</v>
      </c>
      <c r="G68" s="21"/>
      <c r="H68" s="21"/>
    </row>
    <row r="69" spans="1:8" ht="15.75" x14ac:dyDescent="0.25">
      <c r="A69" t="s">
        <v>139</v>
      </c>
      <c r="B69" t="s">
        <v>472</v>
      </c>
      <c r="C69" s="21">
        <v>89</v>
      </c>
      <c r="D69" s="21">
        <v>68</v>
      </c>
      <c r="E69" s="21" t="str">
        <f t="shared" si="1"/>
        <v>=INDEX(Liste;$E$2;70)</v>
      </c>
      <c r="F69" s="154" t="s">
        <v>2959</v>
      </c>
      <c r="G69" s="21"/>
      <c r="H69" s="21"/>
    </row>
    <row r="70" spans="1:8" ht="15.75" x14ac:dyDescent="0.25">
      <c r="A70" t="s">
        <v>2664</v>
      </c>
      <c r="B70" t="s">
        <v>473</v>
      </c>
      <c r="C70" s="21">
        <v>90</v>
      </c>
      <c r="D70" s="21">
        <v>69</v>
      </c>
      <c r="E70" s="21" t="str">
        <f t="shared" si="1"/>
        <v>=INDEX(Liste;$E$2;71)</v>
      </c>
      <c r="F70" s="154" t="s">
        <v>2960</v>
      </c>
      <c r="G70" s="21"/>
      <c r="H70" s="21"/>
    </row>
    <row r="71" spans="1:8" ht="15.75" x14ac:dyDescent="0.25">
      <c r="A71" t="s">
        <v>2665</v>
      </c>
      <c r="B71" t="s">
        <v>474</v>
      </c>
      <c r="C71" s="21">
        <v>91</v>
      </c>
      <c r="D71" s="21">
        <v>70</v>
      </c>
      <c r="E71" s="21" t="str">
        <f t="shared" si="1"/>
        <v>=INDEX(Liste;$E$2;72)</v>
      </c>
      <c r="F71" s="154" t="s">
        <v>2961</v>
      </c>
      <c r="G71" s="21"/>
      <c r="H71" s="21"/>
    </row>
    <row r="72" spans="1:8" ht="15.75" x14ac:dyDescent="0.25">
      <c r="A72" t="s">
        <v>2666</v>
      </c>
      <c r="B72" t="s">
        <v>475</v>
      </c>
      <c r="C72" s="21">
        <v>92</v>
      </c>
      <c r="D72" s="21">
        <v>71</v>
      </c>
      <c r="E72" s="21" t="str">
        <f t="shared" si="1"/>
        <v>=INDEX(Liste;$E$2;73)</v>
      </c>
      <c r="F72" s="154" t="s">
        <v>2962</v>
      </c>
      <c r="G72" s="21"/>
      <c r="H72" s="21"/>
    </row>
    <row r="73" spans="1:8" ht="15.75" x14ac:dyDescent="0.25">
      <c r="A73" t="s">
        <v>2667</v>
      </c>
      <c r="B73" t="s">
        <v>476</v>
      </c>
      <c r="C73" s="21">
        <v>93</v>
      </c>
      <c r="D73" s="21">
        <v>72</v>
      </c>
      <c r="E73" s="21" t="str">
        <f t="shared" si="1"/>
        <v>=INDEX(Liste;$E$2;74)</v>
      </c>
      <c r="F73" s="154" t="s">
        <v>2963</v>
      </c>
      <c r="G73" s="21"/>
      <c r="H73" s="21"/>
    </row>
    <row r="74" spans="1:8" ht="15.75" x14ac:dyDescent="0.25">
      <c r="A74" t="s">
        <v>140</v>
      </c>
      <c r="B74" t="s">
        <v>477</v>
      </c>
      <c r="C74" s="21">
        <v>94</v>
      </c>
      <c r="D74" s="21">
        <v>73</v>
      </c>
      <c r="E74" s="21" t="str">
        <f t="shared" si="1"/>
        <v>=INDEX(Liste;$E$2;75)</v>
      </c>
      <c r="F74" s="154" t="s">
        <v>2964</v>
      </c>
      <c r="G74" s="21"/>
      <c r="H74" s="21"/>
    </row>
    <row r="75" spans="1:8" ht="15.75" x14ac:dyDescent="0.25">
      <c r="A75" t="s">
        <v>141</v>
      </c>
      <c r="B75" t="s">
        <v>478</v>
      </c>
      <c r="C75" s="21">
        <v>95</v>
      </c>
      <c r="D75" s="21">
        <v>74</v>
      </c>
      <c r="E75" s="21" t="str">
        <f t="shared" si="1"/>
        <v>=INDEX(Liste;$E$2;76)</v>
      </c>
      <c r="F75" s="154" t="s">
        <v>2965</v>
      </c>
      <c r="G75" s="21"/>
      <c r="H75" s="21"/>
    </row>
    <row r="76" spans="1:8" ht="15.75" x14ac:dyDescent="0.25">
      <c r="A76" t="s">
        <v>142</v>
      </c>
      <c r="B76" t="s">
        <v>479</v>
      </c>
      <c r="C76" s="21">
        <v>96</v>
      </c>
      <c r="D76" s="21">
        <v>75</v>
      </c>
      <c r="E76" s="21" t="str">
        <f t="shared" si="1"/>
        <v>=INDEX(Liste;$E$2;77)</v>
      </c>
      <c r="F76" s="154" t="s">
        <v>2966</v>
      </c>
      <c r="G76" s="21"/>
      <c r="H76" s="21"/>
    </row>
    <row r="77" spans="1:8" ht="15.75" x14ac:dyDescent="0.25">
      <c r="A77" t="s">
        <v>143</v>
      </c>
      <c r="B77" t="s">
        <v>480</v>
      </c>
      <c r="C77" s="21">
        <v>97</v>
      </c>
      <c r="D77" s="21">
        <v>76</v>
      </c>
      <c r="E77" s="21" t="str">
        <f t="shared" si="1"/>
        <v>=INDEX(Liste;$E$2;78)</v>
      </c>
      <c r="F77" s="154" t="s">
        <v>2967</v>
      </c>
      <c r="G77" s="21"/>
      <c r="H77" s="21"/>
    </row>
    <row r="78" spans="1:8" ht="15.75" x14ac:dyDescent="0.25">
      <c r="A78" t="s">
        <v>144</v>
      </c>
      <c r="B78" t="s">
        <v>481</v>
      </c>
      <c r="C78" s="21">
        <v>98</v>
      </c>
      <c r="D78" s="21">
        <v>77</v>
      </c>
      <c r="E78" s="21" t="str">
        <f t="shared" si="1"/>
        <v>=INDEX(Liste;$E$2;79)</v>
      </c>
      <c r="F78" s="154" t="s">
        <v>2968</v>
      </c>
      <c r="G78" s="21"/>
      <c r="H78" s="21"/>
    </row>
    <row r="79" spans="1:8" ht="15.75" x14ac:dyDescent="0.25">
      <c r="A79" t="s">
        <v>145</v>
      </c>
      <c r="B79" t="s">
        <v>482</v>
      </c>
      <c r="C79" s="21">
        <v>99</v>
      </c>
      <c r="D79" s="21">
        <v>78</v>
      </c>
      <c r="E79" s="21" t="str">
        <f t="shared" si="1"/>
        <v>=INDEX(Liste;$E$2;80)</v>
      </c>
      <c r="F79" s="154" t="s">
        <v>2969</v>
      </c>
      <c r="G79" s="21"/>
      <c r="H79" s="21"/>
    </row>
    <row r="80" spans="1:8" ht="15.75" x14ac:dyDescent="0.25">
      <c r="A80" t="s">
        <v>146</v>
      </c>
      <c r="B80" t="s">
        <v>481</v>
      </c>
      <c r="C80" s="21">
        <v>100</v>
      </c>
      <c r="D80" s="21">
        <v>77</v>
      </c>
      <c r="E80" s="21" t="str">
        <f t="shared" si="1"/>
        <v>=INDEX(Liste;$E$2;79)</v>
      </c>
      <c r="F80" s="154" t="s">
        <v>146</v>
      </c>
      <c r="G80" s="21"/>
      <c r="H80" s="21"/>
    </row>
    <row r="81" spans="1:8" ht="15.75" x14ac:dyDescent="0.25">
      <c r="A81" t="s">
        <v>147</v>
      </c>
      <c r="B81" t="s">
        <v>483</v>
      </c>
      <c r="C81" s="21">
        <v>101</v>
      </c>
      <c r="D81" s="21">
        <v>80</v>
      </c>
      <c r="E81" s="21" t="str">
        <f t="shared" si="1"/>
        <v>=INDEX(Liste;$E$2;82)</v>
      </c>
      <c r="F81" s="154" t="s">
        <v>2970</v>
      </c>
      <c r="G81" s="21"/>
      <c r="H81" s="21"/>
    </row>
    <row r="82" spans="1:8" ht="15.75" x14ac:dyDescent="0.25">
      <c r="A82" t="s">
        <v>148</v>
      </c>
      <c r="B82" t="s">
        <v>484</v>
      </c>
      <c r="C82" s="21">
        <v>102</v>
      </c>
      <c r="D82" s="21">
        <v>81</v>
      </c>
      <c r="E82" s="21" t="str">
        <f t="shared" si="1"/>
        <v>=INDEX(Liste;$E$2;83)</v>
      </c>
      <c r="F82" s="154" t="s">
        <v>2971</v>
      </c>
      <c r="G82" s="21"/>
      <c r="H82" s="21"/>
    </row>
    <row r="83" spans="1:8" ht="15.75" x14ac:dyDescent="0.25">
      <c r="A83" t="s">
        <v>149</v>
      </c>
      <c r="B83" t="s">
        <v>485</v>
      </c>
      <c r="C83" s="21">
        <v>103</v>
      </c>
      <c r="D83" s="21">
        <v>82</v>
      </c>
      <c r="E83" s="21" t="str">
        <f t="shared" si="1"/>
        <v>=INDEX(Liste;$E$2;84)</v>
      </c>
      <c r="F83" s="154" t="s">
        <v>2972</v>
      </c>
      <c r="G83" s="21"/>
      <c r="H83" s="21"/>
    </row>
    <row r="84" spans="1:8" ht="15.75" x14ac:dyDescent="0.25">
      <c r="A84" t="s">
        <v>150</v>
      </c>
      <c r="B84" t="s">
        <v>486</v>
      </c>
      <c r="C84" s="21">
        <v>104</v>
      </c>
      <c r="D84" s="21">
        <v>83</v>
      </c>
      <c r="E84" s="21" t="str">
        <f t="shared" si="1"/>
        <v>=INDEX(Liste;$E$2;85)</v>
      </c>
      <c r="F84" s="154" t="s">
        <v>2973</v>
      </c>
      <c r="G84" s="21"/>
      <c r="H84" s="21"/>
    </row>
    <row r="85" spans="1:8" ht="15.75" x14ac:dyDescent="0.25">
      <c r="A85" t="s">
        <v>151</v>
      </c>
      <c r="B85" t="s">
        <v>487</v>
      </c>
      <c r="C85" s="21">
        <v>105</v>
      </c>
      <c r="D85" s="21">
        <v>84</v>
      </c>
      <c r="E85" s="21" t="str">
        <f t="shared" si="1"/>
        <v>=INDEX(Liste;$E$2;86)</v>
      </c>
      <c r="F85" s="154" t="s">
        <v>2974</v>
      </c>
      <c r="G85" s="21"/>
      <c r="H85" s="21"/>
    </row>
    <row r="86" spans="1:8" ht="15.75" x14ac:dyDescent="0.25">
      <c r="A86" t="s">
        <v>152</v>
      </c>
      <c r="B86" t="s">
        <v>488</v>
      </c>
      <c r="C86" s="21">
        <v>106</v>
      </c>
      <c r="D86" s="21">
        <v>85</v>
      </c>
      <c r="E86" s="21" t="str">
        <f t="shared" si="1"/>
        <v>=INDEX(Liste;$E$2;87)</v>
      </c>
      <c r="F86" s="154" t="s">
        <v>2975</v>
      </c>
      <c r="G86" s="21"/>
      <c r="H86" s="21"/>
    </row>
    <row r="87" spans="1:8" ht="15.75" x14ac:dyDescent="0.25">
      <c r="A87" t="s">
        <v>153</v>
      </c>
      <c r="B87" t="s">
        <v>489</v>
      </c>
      <c r="C87" s="21">
        <v>107</v>
      </c>
      <c r="D87" s="21">
        <v>86</v>
      </c>
      <c r="E87" s="21" t="str">
        <f t="shared" si="1"/>
        <v>=INDEX(Liste;$E$2;88)</v>
      </c>
      <c r="F87" s="154" t="s">
        <v>2976</v>
      </c>
      <c r="G87" s="21"/>
      <c r="H87" s="21"/>
    </row>
    <row r="88" spans="1:8" ht="15.75" x14ac:dyDescent="0.25">
      <c r="A88" t="s">
        <v>154</v>
      </c>
      <c r="B88" t="s">
        <v>490</v>
      </c>
      <c r="C88" s="21">
        <v>108</v>
      </c>
      <c r="D88" s="21">
        <v>87</v>
      </c>
      <c r="E88" s="21" t="str">
        <f t="shared" si="1"/>
        <v>=INDEX(Liste;$E$2;89)</v>
      </c>
      <c r="F88" s="154" t="s">
        <v>154</v>
      </c>
      <c r="G88" s="21"/>
      <c r="H88" s="21"/>
    </row>
    <row r="89" spans="1:8" ht="15.75" x14ac:dyDescent="0.25">
      <c r="A89" t="s">
        <v>155</v>
      </c>
      <c r="B89" t="s">
        <v>491</v>
      </c>
      <c r="C89" s="21">
        <v>109</v>
      </c>
      <c r="D89" s="21">
        <v>88</v>
      </c>
      <c r="E89" s="21" t="str">
        <f t="shared" si="1"/>
        <v>=INDEX(Liste;$E$2;90)</v>
      </c>
      <c r="F89" s="154" t="s">
        <v>2977</v>
      </c>
      <c r="G89" s="21"/>
      <c r="H89" s="21"/>
    </row>
    <row r="90" spans="1:8" ht="15.75" x14ac:dyDescent="0.25">
      <c r="A90" t="s">
        <v>156</v>
      </c>
      <c r="B90" t="s">
        <v>492</v>
      </c>
      <c r="C90" s="21">
        <v>110</v>
      </c>
      <c r="D90" s="21">
        <v>89</v>
      </c>
      <c r="E90" s="21" t="str">
        <f t="shared" si="1"/>
        <v>=INDEX(Liste;$E$2;91)</v>
      </c>
      <c r="F90" s="154" t="s">
        <v>2978</v>
      </c>
      <c r="G90" s="21"/>
      <c r="H90" s="21"/>
    </row>
    <row r="91" spans="1:8" ht="15.75" x14ac:dyDescent="0.25">
      <c r="A91" t="s">
        <v>157</v>
      </c>
      <c r="B91" t="s">
        <v>493</v>
      </c>
      <c r="C91" s="21">
        <v>111</v>
      </c>
      <c r="D91" s="21">
        <v>90</v>
      </c>
      <c r="E91" s="21" t="str">
        <f t="shared" si="1"/>
        <v>=INDEX(Liste;$E$2;92)</v>
      </c>
      <c r="F91" s="154" t="s">
        <v>2979</v>
      </c>
      <c r="G91" s="21"/>
      <c r="H91" s="21"/>
    </row>
    <row r="92" spans="1:8" ht="15.75" x14ac:dyDescent="0.25">
      <c r="A92" t="s">
        <v>158</v>
      </c>
      <c r="B92" t="s">
        <v>494</v>
      </c>
      <c r="C92" s="21">
        <v>112</v>
      </c>
      <c r="D92" s="21">
        <v>91</v>
      </c>
      <c r="E92" s="21" t="str">
        <f t="shared" si="1"/>
        <v>=INDEX(Liste;$E$2;93)</v>
      </c>
      <c r="F92" s="154" t="s">
        <v>158</v>
      </c>
      <c r="G92" s="21"/>
      <c r="H92" s="21"/>
    </row>
    <row r="93" spans="1:8" ht="15.75" x14ac:dyDescent="0.25">
      <c r="A93" t="s">
        <v>159</v>
      </c>
      <c r="B93" t="s">
        <v>495</v>
      </c>
      <c r="C93" s="21">
        <v>113</v>
      </c>
      <c r="D93" s="21">
        <v>92</v>
      </c>
      <c r="E93" s="21" t="str">
        <f t="shared" si="1"/>
        <v>=INDEX(Liste;$E$2;94)</v>
      </c>
      <c r="F93" s="154" t="s">
        <v>2980</v>
      </c>
      <c r="G93" s="21"/>
      <c r="H93" s="21"/>
    </row>
    <row r="94" spans="1:8" ht="15.75" x14ac:dyDescent="0.25">
      <c r="A94" t="s">
        <v>160</v>
      </c>
      <c r="B94" t="s">
        <v>496</v>
      </c>
      <c r="C94" s="21">
        <v>114</v>
      </c>
      <c r="D94" s="21">
        <v>93</v>
      </c>
      <c r="E94" s="21" t="str">
        <f t="shared" si="1"/>
        <v>=INDEX(Liste;$E$2;95)</v>
      </c>
      <c r="F94" s="154" t="s">
        <v>2981</v>
      </c>
      <c r="G94" s="21"/>
      <c r="H94" s="21"/>
    </row>
    <row r="95" spans="1:8" ht="15.75" x14ac:dyDescent="0.25">
      <c r="A95" t="s">
        <v>161</v>
      </c>
      <c r="B95" t="s">
        <v>497</v>
      </c>
      <c r="C95" s="21">
        <v>115</v>
      </c>
      <c r="D95" s="21">
        <v>94</v>
      </c>
      <c r="E95" s="21" t="str">
        <f t="shared" si="1"/>
        <v>=INDEX(Liste;$E$2;96)</v>
      </c>
      <c r="F95" s="154" t="s">
        <v>2982</v>
      </c>
      <c r="G95" s="21"/>
      <c r="H95" s="21"/>
    </row>
    <row r="96" spans="1:8" ht="15.75" x14ac:dyDescent="0.25">
      <c r="A96" t="s">
        <v>162</v>
      </c>
      <c r="B96" t="s">
        <v>498</v>
      </c>
      <c r="C96" s="21">
        <v>116</v>
      </c>
      <c r="D96" s="21">
        <v>95</v>
      </c>
      <c r="E96" s="21" t="str">
        <f t="shared" si="1"/>
        <v>=INDEX(Liste;$E$2;97)</v>
      </c>
      <c r="F96" s="154" t="s">
        <v>162</v>
      </c>
      <c r="G96" s="21"/>
      <c r="H96" s="21"/>
    </row>
    <row r="97" spans="1:8" ht="15.75" x14ac:dyDescent="0.25">
      <c r="A97" t="s">
        <v>163</v>
      </c>
      <c r="B97" t="s">
        <v>499</v>
      </c>
      <c r="C97" s="21">
        <v>117</v>
      </c>
      <c r="D97" s="21">
        <v>96</v>
      </c>
      <c r="E97" s="21" t="str">
        <f t="shared" si="1"/>
        <v>=INDEX(Liste;$E$2;98)</v>
      </c>
      <c r="F97" s="154" t="s">
        <v>2983</v>
      </c>
      <c r="G97" s="21"/>
      <c r="H97" s="21"/>
    </row>
    <row r="98" spans="1:8" ht="15.75" x14ac:dyDescent="0.25">
      <c r="A98" t="s">
        <v>164</v>
      </c>
      <c r="B98" t="s">
        <v>500</v>
      </c>
      <c r="C98" s="21">
        <v>118</v>
      </c>
      <c r="D98" s="21">
        <v>97</v>
      </c>
      <c r="E98" s="21" t="str">
        <f t="shared" si="1"/>
        <v>=INDEX(Liste;$E$2;99)</v>
      </c>
      <c r="F98" s="154" t="s">
        <v>2984</v>
      </c>
      <c r="G98" s="21"/>
      <c r="H98" s="21"/>
    </row>
    <row r="99" spans="1:8" ht="15.75" x14ac:dyDescent="0.25">
      <c r="A99" t="s">
        <v>165</v>
      </c>
      <c r="B99" t="s">
        <v>501</v>
      </c>
      <c r="C99" s="21">
        <v>119</v>
      </c>
      <c r="D99" s="21">
        <v>98</v>
      </c>
      <c r="E99" s="21" t="str">
        <f t="shared" si="1"/>
        <v>=INDEX(Liste;$E$2;100)</v>
      </c>
      <c r="F99" s="154" t="s">
        <v>2985</v>
      </c>
      <c r="G99" s="21"/>
      <c r="H99" s="21"/>
    </row>
    <row r="100" spans="1:8" ht="15.75" x14ac:dyDescent="0.25">
      <c r="A100" t="s">
        <v>166</v>
      </c>
      <c r="B100" t="s">
        <v>502</v>
      </c>
      <c r="C100" s="21">
        <v>120</v>
      </c>
      <c r="D100" s="21">
        <v>99</v>
      </c>
      <c r="E100" s="21" t="str">
        <f t="shared" si="1"/>
        <v>=INDEX(Liste;$E$2;101)</v>
      </c>
      <c r="F100" s="154" t="s">
        <v>2986</v>
      </c>
      <c r="G100" s="21"/>
      <c r="H100" s="21"/>
    </row>
    <row r="101" spans="1:8" ht="15.75" x14ac:dyDescent="0.25">
      <c r="A101" t="s">
        <v>167</v>
      </c>
      <c r="B101" t="s">
        <v>1601</v>
      </c>
      <c r="C101" s="21">
        <v>121</v>
      </c>
      <c r="D101" s="21">
        <v>100</v>
      </c>
      <c r="E101" s="21" t="str">
        <f t="shared" si="1"/>
        <v>=INDEX(Liste;$E$2;102)</v>
      </c>
      <c r="F101" s="154" t="s">
        <v>2987</v>
      </c>
      <c r="G101" s="21"/>
      <c r="H101" s="21"/>
    </row>
    <row r="102" spans="1:8" ht="15.75" x14ac:dyDescent="0.25">
      <c r="A102" t="s">
        <v>168</v>
      </c>
      <c r="B102" t="s">
        <v>1793</v>
      </c>
      <c r="C102" s="21">
        <v>122</v>
      </c>
      <c r="D102" s="21">
        <v>101</v>
      </c>
      <c r="E102" s="21" t="str">
        <f t="shared" si="1"/>
        <v>=INDEX(Liste;$E$2;103)</v>
      </c>
      <c r="F102" s="154" t="s">
        <v>2988</v>
      </c>
      <c r="G102" s="21"/>
      <c r="H102" s="21"/>
    </row>
    <row r="103" spans="1:8" ht="15.75" x14ac:dyDescent="0.25">
      <c r="A103" t="s">
        <v>169</v>
      </c>
      <c r="B103" t="s">
        <v>503</v>
      </c>
      <c r="C103" s="21">
        <v>123</v>
      </c>
      <c r="D103" s="21">
        <v>102</v>
      </c>
      <c r="E103" s="21" t="str">
        <f t="shared" si="1"/>
        <v>=INDEX(Liste;$E$2;104)</v>
      </c>
      <c r="F103" s="154" t="s">
        <v>2989</v>
      </c>
      <c r="G103" s="21"/>
      <c r="H103" s="21"/>
    </row>
    <row r="104" spans="1:8" ht="15.75" x14ac:dyDescent="0.25">
      <c r="A104" t="s">
        <v>170</v>
      </c>
      <c r="B104" t="s">
        <v>504</v>
      </c>
      <c r="C104" s="21">
        <v>124</v>
      </c>
      <c r="D104" s="21">
        <v>103</v>
      </c>
      <c r="E104" s="21" t="str">
        <f t="shared" si="1"/>
        <v>=INDEX(Liste;$E$2;105)</v>
      </c>
      <c r="F104" s="154" t="s">
        <v>2990</v>
      </c>
      <c r="G104" s="21"/>
      <c r="H104" s="21"/>
    </row>
    <row r="105" spans="1:8" ht="15.75" x14ac:dyDescent="0.25">
      <c r="A105" t="s">
        <v>171</v>
      </c>
      <c r="B105" t="s">
        <v>505</v>
      </c>
      <c r="C105" s="21">
        <v>125</v>
      </c>
      <c r="D105" s="21">
        <v>104</v>
      </c>
      <c r="E105" s="21" t="str">
        <f t="shared" si="1"/>
        <v>=INDEX(Liste;$E$2;106)</v>
      </c>
      <c r="F105" s="154" t="s">
        <v>2991</v>
      </c>
      <c r="G105" s="21"/>
      <c r="H105" s="21"/>
    </row>
    <row r="106" spans="1:8" ht="15.75" x14ac:dyDescent="0.25">
      <c r="A106" t="s">
        <v>172</v>
      </c>
      <c r="B106" t="s">
        <v>506</v>
      </c>
      <c r="C106" s="21">
        <v>126</v>
      </c>
      <c r="D106" s="21">
        <v>105</v>
      </c>
      <c r="E106" s="21" t="str">
        <f t="shared" si="1"/>
        <v>=INDEX(Liste;$E$2;107)</v>
      </c>
      <c r="F106" s="154" t="s">
        <v>2992</v>
      </c>
      <c r="G106" s="21"/>
      <c r="H106" s="21"/>
    </row>
    <row r="107" spans="1:8" ht="15.75" x14ac:dyDescent="0.25">
      <c r="A107" t="s">
        <v>173</v>
      </c>
      <c r="B107" t="s">
        <v>507</v>
      </c>
      <c r="C107" s="21">
        <v>127</v>
      </c>
      <c r="D107" s="21">
        <v>106</v>
      </c>
      <c r="E107" s="21" t="str">
        <f t="shared" si="1"/>
        <v>=INDEX(Liste;$E$2;108)</v>
      </c>
      <c r="F107" s="154" t="s">
        <v>2993</v>
      </c>
      <c r="G107" s="21"/>
      <c r="H107" s="21"/>
    </row>
    <row r="108" spans="1:8" ht="15.75" x14ac:dyDescent="0.25">
      <c r="A108" t="s">
        <v>174</v>
      </c>
      <c r="B108" t="s">
        <v>508</v>
      </c>
      <c r="C108" s="21">
        <v>128</v>
      </c>
      <c r="D108" s="21">
        <v>107</v>
      </c>
      <c r="E108" s="21" t="str">
        <f t="shared" si="1"/>
        <v>=INDEX(Liste;$E$2;109)</v>
      </c>
      <c r="F108" s="154" t="s">
        <v>174</v>
      </c>
      <c r="G108" s="21"/>
      <c r="H108" s="21"/>
    </row>
    <row r="109" spans="1:8" ht="15.75" x14ac:dyDescent="0.25">
      <c r="A109" t="s">
        <v>175</v>
      </c>
      <c r="B109" t="s">
        <v>509</v>
      </c>
      <c r="C109" s="21">
        <v>129</v>
      </c>
      <c r="D109" s="21">
        <v>108</v>
      </c>
      <c r="E109" s="21" t="str">
        <f t="shared" si="1"/>
        <v>=INDEX(Liste;$E$2;110)</v>
      </c>
      <c r="F109" s="154" t="s">
        <v>2994</v>
      </c>
      <c r="G109" s="21"/>
      <c r="H109" s="21"/>
    </row>
    <row r="110" spans="1:8" ht="15.75" x14ac:dyDescent="0.25">
      <c r="A110" t="s">
        <v>176</v>
      </c>
      <c r="B110" t="s">
        <v>510</v>
      </c>
      <c r="C110" s="21">
        <v>130</v>
      </c>
      <c r="D110" s="21">
        <v>109</v>
      </c>
      <c r="E110" s="21" t="str">
        <f t="shared" si="1"/>
        <v>=INDEX(Liste;$E$2;111)</v>
      </c>
      <c r="F110" s="154" t="s">
        <v>2995</v>
      </c>
      <c r="G110" s="21"/>
      <c r="H110" s="21"/>
    </row>
    <row r="111" spans="1:8" ht="15.75" x14ac:dyDescent="0.25">
      <c r="A111" t="s">
        <v>177</v>
      </c>
      <c r="B111" t="s">
        <v>511</v>
      </c>
      <c r="C111" s="21">
        <v>131</v>
      </c>
      <c r="D111" s="21">
        <v>110</v>
      </c>
      <c r="E111" s="21" t="str">
        <f t="shared" si="1"/>
        <v>=INDEX(Liste;$E$2;112)</v>
      </c>
      <c r="F111" s="154" t="s">
        <v>2996</v>
      </c>
      <c r="G111" s="21"/>
      <c r="H111" s="21"/>
    </row>
    <row r="112" spans="1:8" ht="15.75" x14ac:dyDescent="0.25">
      <c r="A112" t="s">
        <v>178</v>
      </c>
      <c r="B112" t="s">
        <v>512</v>
      </c>
      <c r="C112" s="21">
        <v>132</v>
      </c>
      <c r="D112" s="21">
        <v>111</v>
      </c>
      <c r="E112" s="21" t="str">
        <f t="shared" si="1"/>
        <v>=INDEX(Liste;$E$2;113)</v>
      </c>
      <c r="F112" s="154" t="s">
        <v>2997</v>
      </c>
      <c r="G112" s="21"/>
      <c r="H112" s="21"/>
    </row>
    <row r="113" spans="1:8" ht="15.75" x14ac:dyDescent="0.25">
      <c r="A113" t="s">
        <v>179</v>
      </c>
      <c r="B113" t="s">
        <v>513</v>
      </c>
      <c r="C113" s="21">
        <v>133</v>
      </c>
      <c r="D113" s="21">
        <v>112</v>
      </c>
      <c r="E113" s="21" t="str">
        <f t="shared" si="1"/>
        <v>=INDEX(Liste;$E$2;114)</v>
      </c>
      <c r="F113" s="154" t="s">
        <v>2998</v>
      </c>
      <c r="G113" s="21"/>
      <c r="H113" s="21"/>
    </row>
    <row r="114" spans="1:8" ht="15.75" x14ac:dyDescent="0.25">
      <c r="A114" t="s">
        <v>180</v>
      </c>
      <c r="B114" t="s">
        <v>514</v>
      </c>
      <c r="C114" s="21">
        <v>134</v>
      </c>
      <c r="D114" s="21">
        <v>113</v>
      </c>
      <c r="E114" s="21" t="str">
        <f t="shared" si="1"/>
        <v>=INDEX(Liste;$E$2;115)</v>
      </c>
      <c r="F114" s="154" t="s">
        <v>2999</v>
      </c>
      <c r="G114" s="21"/>
      <c r="H114" s="21"/>
    </row>
    <row r="115" spans="1:8" ht="15.75" x14ac:dyDescent="0.25">
      <c r="A115" t="s">
        <v>181</v>
      </c>
      <c r="B115" t="s">
        <v>515</v>
      </c>
      <c r="C115" s="21">
        <v>135</v>
      </c>
      <c r="D115" s="21">
        <v>114</v>
      </c>
      <c r="E115" s="21" t="str">
        <f t="shared" si="1"/>
        <v>=INDEX(Liste;$E$2;116)</v>
      </c>
      <c r="F115" s="154" t="s">
        <v>3000</v>
      </c>
      <c r="G115" s="21"/>
      <c r="H115" s="21"/>
    </row>
    <row r="116" spans="1:8" ht="15.75" x14ac:dyDescent="0.25">
      <c r="A116" t="s">
        <v>182</v>
      </c>
      <c r="B116" t="s">
        <v>516</v>
      </c>
      <c r="C116" s="21">
        <v>136</v>
      </c>
      <c r="D116" s="21">
        <v>115</v>
      </c>
      <c r="E116" s="21" t="str">
        <f t="shared" si="1"/>
        <v>=INDEX(Liste;$E$2;117)</v>
      </c>
      <c r="F116" s="154" t="s">
        <v>182</v>
      </c>
      <c r="G116" s="21"/>
      <c r="H116" s="21"/>
    </row>
    <row r="117" spans="1:8" ht="15.75" x14ac:dyDescent="0.25">
      <c r="A117" t="s">
        <v>2668</v>
      </c>
      <c r="B117" t="s">
        <v>517</v>
      </c>
      <c r="C117" s="21">
        <v>137</v>
      </c>
      <c r="D117" s="21">
        <v>116</v>
      </c>
      <c r="E117" s="21" t="str">
        <f t="shared" si="1"/>
        <v>=INDEX(Liste;$E$2;118)</v>
      </c>
      <c r="F117" s="154" t="s">
        <v>3001</v>
      </c>
      <c r="G117" s="21"/>
      <c r="H117" s="21"/>
    </row>
    <row r="118" spans="1:8" ht="15.75" x14ac:dyDescent="0.25">
      <c r="A118" t="s">
        <v>2669</v>
      </c>
      <c r="B118" t="s">
        <v>518</v>
      </c>
      <c r="C118" s="21">
        <v>138</v>
      </c>
      <c r="D118" s="21">
        <v>117</v>
      </c>
      <c r="E118" s="21" t="str">
        <f t="shared" si="1"/>
        <v>=INDEX(Liste;$E$2;119)</v>
      </c>
      <c r="F118" s="154" t="s">
        <v>3002</v>
      </c>
      <c r="G118" s="21"/>
      <c r="H118" s="21"/>
    </row>
    <row r="119" spans="1:8" ht="15.75" x14ac:dyDescent="0.25">
      <c r="A119" t="s">
        <v>2670</v>
      </c>
      <c r="B119" t="s">
        <v>519</v>
      </c>
      <c r="C119" s="21">
        <v>139</v>
      </c>
      <c r="D119" s="21">
        <v>118</v>
      </c>
      <c r="E119" s="21" t="str">
        <f t="shared" si="1"/>
        <v>=INDEX(Liste;$E$2;120)</v>
      </c>
      <c r="F119" s="154" t="s">
        <v>3003</v>
      </c>
      <c r="G119" s="21"/>
      <c r="H119" s="21"/>
    </row>
    <row r="120" spans="1:8" ht="15.75" x14ac:dyDescent="0.25">
      <c r="A120" t="s">
        <v>2671</v>
      </c>
      <c r="B120" t="s">
        <v>520</v>
      </c>
      <c r="C120" s="21">
        <v>140</v>
      </c>
      <c r="D120" s="21">
        <v>119</v>
      </c>
      <c r="E120" s="21" t="str">
        <f t="shared" si="1"/>
        <v>=INDEX(Liste;$E$2;121)</v>
      </c>
      <c r="F120" s="154" t="s">
        <v>3004</v>
      </c>
      <c r="G120" s="21"/>
      <c r="H120" s="21"/>
    </row>
    <row r="121" spans="1:8" ht="15.75" x14ac:dyDescent="0.25">
      <c r="A121" t="s">
        <v>183</v>
      </c>
      <c r="B121" t="s">
        <v>1622</v>
      </c>
      <c r="C121" s="21">
        <v>141</v>
      </c>
      <c r="D121" s="21">
        <v>120</v>
      </c>
      <c r="E121" s="21" t="str">
        <f t="shared" si="1"/>
        <v>=INDEX(Liste;$E$2;122)</v>
      </c>
      <c r="F121" s="154" t="s">
        <v>3005</v>
      </c>
      <c r="G121" s="21"/>
      <c r="H121" s="21"/>
    </row>
    <row r="122" spans="1:8" ht="15.75" x14ac:dyDescent="0.25">
      <c r="A122" t="s">
        <v>184</v>
      </c>
      <c r="B122" t="s">
        <v>1794</v>
      </c>
      <c r="C122" s="21">
        <v>142</v>
      </c>
      <c r="D122" s="21">
        <v>121</v>
      </c>
      <c r="E122" s="21" t="str">
        <f t="shared" si="1"/>
        <v>=INDEX(Liste;$E$2;123)</v>
      </c>
      <c r="F122" s="154" t="s">
        <v>3006</v>
      </c>
      <c r="G122" s="21"/>
      <c r="H122" s="21"/>
    </row>
    <row r="123" spans="1:8" ht="15.75" x14ac:dyDescent="0.25">
      <c r="A123" t="s">
        <v>185</v>
      </c>
      <c r="B123" t="s">
        <v>1795</v>
      </c>
      <c r="C123" s="21">
        <v>143</v>
      </c>
      <c r="D123" s="21">
        <v>122</v>
      </c>
      <c r="E123" s="21" t="str">
        <f t="shared" si="1"/>
        <v>=INDEX(Liste;$E$2;124)</v>
      </c>
      <c r="F123" s="154" t="s">
        <v>3007</v>
      </c>
      <c r="G123" s="21"/>
      <c r="H123" s="21"/>
    </row>
    <row r="124" spans="1:8" ht="15.75" x14ac:dyDescent="0.25">
      <c r="A124" t="s">
        <v>186</v>
      </c>
      <c r="B124" t="s">
        <v>1621</v>
      </c>
      <c r="C124" s="21">
        <v>144</v>
      </c>
      <c r="D124" s="21">
        <v>123</v>
      </c>
      <c r="E124" s="21" t="str">
        <f t="shared" si="1"/>
        <v>=INDEX(Liste;$E$2;125)</v>
      </c>
      <c r="F124" s="154" t="s">
        <v>3008</v>
      </c>
      <c r="G124" s="21"/>
      <c r="H124" s="21"/>
    </row>
    <row r="125" spans="1:8" ht="15.75" x14ac:dyDescent="0.25">
      <c r="A125" t="s">
        <v>2706</v>
      </c>
      <c r="B125" t="s">
        <v>525</v>
      </c>
      <c r="C125" s="21">
        <v>145</v>
      </c>
      <c r="D125" s="21">
        <v>124</v>
      </c>
      <c r="E125" s="21" t="str">
        <f t="shared" si="1"/>
        <v>=INDEX(Liste;$E$2;126)</v>
      </c>
      <c r="F125" s="154" t="s">
        <v>3009</v>
      </c>
      <c r="G125" s="21"/>
      <c r="H125" s="21"/>
    </row>
    <row r="126" spans="1:8" ht="15.75" x14ac:dyDescent="0.25">
      <c r="A126" t="s">
        <v>2707</v>
      </c>
      <c r="B126" t="s">
        <v>526</v>
      </c>
      <c r="C126" s="21">
        <v>146</v>
      </c>
      <c r="D126" s="21">
        <v>125</v>
      </c>
      <c r="E126" s="21" t="str">
        <f t="shared" si="1"/>
        <v>=INDEX(Liste;$E$2;127)</v>
      </c>
      <c r="F126" s="154" t="s">
        <v>3010</v>
      </c>
      <c r="G126" s="21"/>
      <c r="H126" s="21"/>
    </row>
    <row r="127" spans="1:8" ht="15.75" x14ac:dyDescent="0.25">
      <c r="A127" t="s">
        <v>2708</v>
      </c>
      <c r="B127" t="s">
        <v>527</v>
      </c>
      <c r="C127" s="21">
        <v>147</v>
      </c>
      <c r="D127" s="21">
        <v>126</v>
      </c>
      <c r="E127" s="21" t="str">
        <f t="shared" si="1"/>
        <v>=INDEX(Liste;$E$2;128)</v>
      </c>
      <c r="F127" s="154" t="s">
        <v>3011</v>
      </c>
      <c r="G127" s="21"/>
      <c r="H127" s="21"/>
    </row>
    <row r="128" spans="1:8" ht="15.75" x14ac:dyDescent="0.25">
      <c r="A128" t="s">
        <v>2709</v>
      </c>
      <c r="B128" t="s">
        <v>528</v>
      </c>
      <c r="C128" s="21">
        <v>148</v>
      </c>
      <c r="D128" s="21">
        <v>127</v>
      </c>
      <c r="E128" s="21" t="str">
        <f t="shared" si="1"/>
        <v>=INDEX(Liste;$E$2;129)</v>
      </c>
      <c r="F128" s="154" t="s">
        <v>3012</v>
      </c>
      <c r="G128" s="21"/>
      <c r="H128" s="21"/>
    </row>
    <row r="129" spans="1:8" ht="15.75" x14ac:dyDescent="0.25">
      <c r="A129" t="s">
        <v>187</v>
      </c>
      <c r="B129" t="s">
        <v>529</v>
      </c>
      <c r="C129" s="21">
        <v>149</v>
      </c>
      <c r="D129" s="21">
        <v>128</v>
      </c>
      <c r="E129" s="21" t="str">
        <f t="shared" si="1"/>
        <v>=INDEX(Liste;$E$2;130)</v>
      </c>
      <c r="F129" s="154" t="s">
        <v>3013</v>
      </c>
      <c r="G129" s="21"/>
      <c r="H129" s="21"/>
    </row>
    <row r="130" spans="1:8" ht="15.75" x14ac:dyDescent="0.25">
      <c r="A130" t="s">
        <v>188</v>
      </c>
      <c r="B130" t="s">
        <v>530</v>
      </c>
      <c r="C130" s="21">
        <v>150</v>
      </c>
      <c r="D130" s="21">
        <v>129</v>
      </c>
      <c r="E130" s="21" t="str">
        <f t="shared" si="1"/>
        <v>=INDEX(Liste;$E$2;131)</v>
      </c>
      <c r="F130" s="154" t="s">
        <v>3014</v>
      </c>
      <c r="G130" s="21"/>
      <c r="H130" s="21"/>
    </row>
    <row r="131" spans="1:8" ht="15.75" x14ac:dyDescent="0.25">
      <c r="A131" t="s">
        <v>189</v>
      </c>
      <c r="B131" t="s">
        <v>529</v>
      </c>
      <c r="C131" s="21">
        <v>151</v>
      </c>
      <c r="D131" s="21">
        <v>128</v>
      </c>
      <c r="E131" s="21" t="str">
        <f t="shared" ref="E131:E194" si="2">"=INDEX(Liste;$E$2;"&amp;D131+2&amp;")"</f>
        <v>=INDEX(Liste;$E$2;130)</v>
      </c>
      <c r="F131" s="154" t="s">
        <v>189</v>
      </c>
      <c r="G131" s="21"/>
      <c r="H131" s="21"/>
    </row>
    <row r="132" spans="1:8" ht="15.75" x14ac:dyDescent="0.25">
      <c r="A132" t="s">
        <v>190</v>
      </c>
      <c r="B132" t="s">
        <v>531</v>
      </c>
      <c r="C132" s="21">
        <v>152</v>
      </c>
      <c r="D132" s="21">
        <v>131</v>
      </c>
      <c r="E132" s="21" t="str">
        <f t="shared" si="2"/>
        <v>=INDEX(Liste;$E$2;133)</v>
      </c>
      <c r="F132" s="154" t="s">
        <v>3015</v>
      </c>
      <c r="G132" s="21"/>
      <c r="H132" s="21"/>
    </row>
    <row r="133" spans="1:8" ht="15.75" x14ac:dyDescent="0.25">
      <c r="A133" t="s">
        <v>191</v>
      </c>
      <c r="B133" t="s">
        <v>532</v>
      </c>
      <c r="C133" s="21">
        <v>153</v>
      </c>
      <c r="D133" s="21">
        <v>132</v>
      </c>
      <c r="E133" s="21" t="str">
        <f t="shared" si="2"/>
        <v>=INDEX(Liste;$E$2;134)</v>
      </c>
      <c r="F133" s="154" t="s">
        <v>3016</v>
      </c>
      <c r="G133" s="21"/>
      <c r="H133" s="21"/>
    </row>
    <row r="134" spans="1:8" ht="15.75" x14ac:dyDescent="0.25">
      <c r="A134" t="s">
        <v>192</v>
      </c>
      <c r="B134" t="s">
        <v>533</v>
      </c>
      <c r="C134" s="21">
        <v>154</v>
      </c>
      <c r="D134" s="21">
        <v>133</v>
      </c>
      <c r="E134" s="21" t="str">
        <f t="shared" si="2"/>
        <v>=INDEX(Liste;$E$2;135)</v>
      </c>
      <c r="F134" s="154" t="s">
        <v>3017</v>
      </c>
      <c r="G134" s="21"/>
      <c r="H134" s="21"/>
    </row>
    <row r="135" spans="1:8" ht="15.75" x14ac:dyDescent="0.25">
      <c r="A135" t="s">
        <v>193</v>
      </c>
      <c r="B135" t="s">
        <v>534</v>
      </c>
      <c r="C135" s="21">
        <v>155</v>
      </c>
      <c r="D135" s="21">
        <v>134</v>
      </c>
      <c r="E135" s="21" t="str">
        <f t="shared" si="2"/>
        <v>=INDEX(Liste;$E$2;136)</v>
      </c>
      <c r="F135" s="154" t="s">
        <v>3018</v>
      </c>
      <c r="G135" s="21"/>
      <c r="H135" s="21"/>
    </row>
    <row r="136" spans="1:8" ht="15.75" x14ac:dyDescent="0.25">
      <c r="A136" t="s">
        <v>194</v>
      </c>
      <c r="B136" t="s">
        <v>535</v>
      </c>
      <c r="C136" s="21">
        <v>156</v>
      </c>
      <c r="D136" s="21">
        <v>135</v>
      </c>
      <c r="E136" s="21" t="str">
        <f t="shared" si="2"/>
        <v>=INDEX(Liste;$E$2;137)</v>
      </c>
      <c r="F136" s="154" t="s">
        <v>3019</v>
      </c>
      <c r="G136" s="21"/>
      <c r="H136" s="21"/>
    </row>
    <row r="137" spans="1:8" ht="15.75" x14ac:dyDescent="0.25">
      <c r="A137" t="s">
        <v>195</v>
      </c>
      <c r="B137" t="s">
        <v>536</v>
      </c>
      <c r="C137" s="21">
        <v>157</v>
      </c>
      <c r="D137" s="21">
        <v>136</v>
      </c>
      <c r="E137" s="21" t="str">
        <f t="shared" si="2"/>
        <v>=INDEX(Liste;$E$2;138)</v>
      </c>
      <c r="F137" s="154" t="s">
        <v>3020</v>
      </c>
      <c r="G137" s="21"/>
      <c r="H137" s="21"/>
    </row>
    <row r="138" spans="1:8" ht="15.75" x14ac:dyDescent="0.25">
      <c r="A138" t="s">
        <v>196</v>
      </c>
      <c r="B138" t="s">
        <v>537</v>
      </c>
      <c r="C138" s="21">
        <v>158</v>
      </c>
      <c r="D138" s="21">
        <v>137</v>
      </c>
      <c r="E138" s="21" t="str">
        <f t="shared" si="2"/>
        <v>=INDEX(Liste;$E$2;139)</v>
      </c>
      <c r="F138" s="154" t="s">
        <v>3021</v>
      </c>
      <c r="G138" s="21"/>
      <c r="H138" s="21"/>
    </row>
    <row r="139" spans="1:8" ht="15.75" x14ac:dyDescent="0.25">
      <c r="A139" t="s">
        <v>197</v>
      </c>
      <c r="B139" t="s">
        <v>538</v>
      </c>
      <c r="C139" s="21">
        <v>159</v>
      </c>
      <c r="D139" s="21">
        <v>138</v>
      </c>
      <c r="E139" s="21" t="str">
        <f t="shared" si="2"/>
        <v>=INDEX(Liste;$E$2;140)</v>
      </c>
      <c r="F139" s="154" t="s">
        <v>197</v>
      </c>
      <c r="G139" s="21"/>
      <c r="H139" s="21"/>
    </row>
    <row r="140" spans="1:8" ht="15.75" x14ac:dyDescent="0.25">
      <c r="A140" t="s">
        <v>198</v>
      </c>
      <c r="B140" t="s">
        <v>541</v>
      </c>
      <c r="C140" s="21">
        <v>160</v>
      </c>
      <c r="D140" s="21">
        <v>139</v>
      </c>
      <c r="E140" s="21" t="str">
        <f t="shared" si="2"/>
        <v>=INDEX(Liste;$E$2;141)</v>
      </c>
      <c r="F140" s="154" t="s">
        <v>3022</v>
      </c>
      <c r="G140" s="21"/>
      <c r="H140" s="21"/>
    </row>
    <row r="141" spans="1:8" ht="15.75" x14ac:dyDescent="0.25">
      <c r="A141" t="s">
        <v>199</v>
      </c>
      <c r="B141" t="s">
        <v>542</v>
      </c>
      <c r="C141" s="21">
        <v>161</v>
      </c>
      <c r="D141" s="21">
        <v>140</v>
      </c>
      <c r="E141" s="21" t="str">
        <f t="shared" si="2"/>
        <v>=INDEX(Liste;$E$2;142)</v>
      </c>
      <c r="F141" s="154" t="s">
        <v>3023</v>
      </c>
      <c r="G141" s="21"/>
      <c r="H141" s="21"/>
    </row>
    <row r="142" spans="1:8" ht="15.75" x14ac:dyDescent="0.25">
      <c r="A142" t="s">
        <v>200</v>
      </c>
      <c r="B142" t="s">
        <v>543</v>
      </c>
      <c r="C142" s="21">
        <v>162</v>
      </c>
      <c r="D142" s="21">
        <v>141</v>
      </c>
      <c r="E142" s="21" t="str">
        <f t="shared" si="2"/>
        <v>=INDEX(Liste;$E$2;143)</v>
      </c>
      <c r="F142" s="154" t="s">
        <v>3024</v>
      </c>
      <c r="G142" s="21"/>
      <c r="H142" s="21"/>
    </row>
    <row r="143" spans="1:8" ht="15.75" x14ac:dyDescent="0.25">
      <c r="A143" t="s">
        <v>201</v>
      </c>
      <c r="B143" t="s">
        <v>544</v>
      </c>
      <c r="C143" s="21">
        <v>163</v>
      </c>
      <c r="D143" s="21">
        <v>142</v>
      </c>
      <c r="E143" s="21" t="str">
        <f t="shared" si="2"/>
        <v>=INDEX(Liste;$E$2;144)</v>
      </c>
      <c r="F143" s="154" t="s">
        <v>201</v>
      </c>
      <c r="G143" s="21"/>
      <c r="H143" s="21"/>
    </row>
    <row r="144" spans="1:8" ht="15.75" x14ac:dyDescent="0.25">
      <c r="A144" t="s">
        <v>202</v>
      </c>
      <c r="B144" t="s">
        <v>1645</v>
      </c>
      <c r="C144" s="21">
        <v>164</v>
      </c>
      <c r="D144" s="21">
        <v>143</v>
      </c>
      <c r="E144" s="21" t="str">
        <f t="shared" si="2"/>
        <v>=INDEX(Liste;$E$2;145)</v>
      </c>
      <c r="F144" s="154" t="s">
        <v>3025</v>
      </c>
      <c r="G144" s="21"/>
      <c r="H144" s="21"/>
    </row>
    <row r="145" spans="1:8" ht="15.75" x14ac:dyDescent="0.25">
      <c r="A145" t="s">
        <v>203</v>
      </c>
      <c r="B145" t="s">
        <v>1799</v>
      </c>
      <c r="C145" s="21">
        <v>165</v>
      </c>
      <c r="D145" s="21">
        <v>144</v>
      </c>
      <c r="E145" s="21" t="str">
        <f t="shared" si="2"/>
        <v>=INDEX(Liste;$E$2;146)</v>
      </c>
      <c r="F145" s="154" t="s">
        <v>3026</v>
      </c>
      <c r="G145" s="21"/>
      <c r="H145" s="21"/>
    </row>
    <row r="146" spans="1:8" ht="15.75" x14ac:dyDescent="0.25">
      <c r="A146" t="s">
        <v>204</v>
      </c>
      <c r="B146" t="s">
        <v>1800</v>
      </c>
      <c r="C146" s="21">
        <v>166</v>
      </c>
      <c r="D146" s="21">
        <v>145</v>
      </c>
      <c r="E146" s="21" t="str">
        <f t="shared" si="2"/>
        <v>=INDEX(Liste;$E$2;147)</v>
      </c>
      <c r="F146" s="154" t="s">
        <v>3027</v>
      </c>
      <c r="G146" s="21"/>
      <c r="H146" s="21"/>
    </row>
    <row r="147" spans="1:8" ht="15.75" x14ac:dyDescent="0.25">
      <c r="A147" t="s">
        <v>205</v>
      </c>
      <c r="B147" t="s">
        <v>1644</v>
      </c>
      <c r="C147" s="21">
        <v>167</v>
      </c>
      <c r="D147" s="21">
        <v>146</v>
      </c>
      <c r="E147" s="21" t="str">
        <f t="shared" si="2"/>
        <v>=INDEX(Liste;$E$2;148)</v>
      </c>
      <c r="F147" s="154" t="s">
        <v>205</v>
      </c>
      <c r="G147" s="21"/>
      <c r="H147" s="21"/>
    </row>
    <row r="148" spans="1:8" ht="15.75" x14ac:dyDescent="0.25">
      <c r="A148" t="s">
        <v>206</v>
      </c>
      <c r="B148" t="s">
        <v>545</v>
      </c>
      <c r="C148" s="21">
        <v>168</v>
      </c>
      <c r="D148" s="21">
        <v>147</v>
      </c>
      <c r="E148" s="21" t="str">
        <f t="shared" si="2"/>
        <v>=INDEX(Liste;$E$2;149)</v>
      </c>
      <c r="F148" s="154" t="s">
        <v>3028</v>
      </c>
      <c r="G148" s="21"/>
      <c r="H148" s="21"/>
    </row>
    <row r="149" spans="1:8" ht="15.75" x14ac:dyDescent="0.25">
      <c r="A149" t="s">
        <v>207</v>
      </c>
      <c r="B149" t="s">
        <v>546</v>
      </c>
      <c r="C149" s="21">
        <v>169</v>
      </c>
      <c r="D149" s="21">
        <v>148</v>
      </c>
      <c r="E149" s="21" t="str">
        <f t="shared" si="2"/>
        <v>=INDEX(Liste;$E$2;150)</v>
      </c>
      <c r="F149" s="154" t="s">
        <v>3029</v>
      </c>
      <c r="G149" s="21"/>
      <c r="H149" s="21"/>
    </row>
    <row r="150" spans="1:8" ht="15.75" x14ac:dyDescent="0.25">
      <c r="A150" t="s">
        <v>208</v>
      </c>
      <c r="B150" t="s">
        <v>547</v>
      </c>
      <c r="C150" s="21">
        <v>170</v>
      </c>
      <c r="D150" s="21">
        <v>149</v>
      </c>
      <c r="E150" s="21" t="str">
        <f t="shared" si="2"/>
        <v>=INDEX(Liste;$E$2;151)</v>
      </c>
      <c r="F150" s="154" t="s">
        <v>3030</v>
      </c>
      <c r="G150" s="21"/>
      <c r="H150" s="21"/>
    </row>
    <row r="151" spans="1:8" ht="15.75" x14ac:dyDescent="0.25">
      <c r="A151" t="s">
        <v>209</v>
      </c>
      <c r="B151" t="s">
        <v>548</v>
      </c>
      <c r="C151" s="21">
        <v>171</v>
      </c>
      <c r="D151" s="21">
        <v>150</v>
      </c>
      <c r="E151" s="21" t="str">
        <f t="shared" si="2"/>
        <v>=INDEX(Liste;$E$2;152)</v>
      </c>
      <c r="F151" s="154" t="s">
        <v>3031</v>
      </c>
      <c r="G151" s="21"/>
      <c r="H151" s="21"/>
    </row>
    <row r="152" spans="1:8" ht="15.75" x14ac:dyDescent="0.25">
      <c r="A152" t="s">
        <v>210</v>
      </c>
      <c r="B152" t="s">
        <v>549</v>
      </c>
      <c r="C152" s="21">
        <v>172</v>
      </c>
      <c r="D152" s="21">
        <v>151</v>
      </c>
      <c r="E152" s="21" t="str">
        <f t="shared" si="2"/>
        <v>=INDEX(Liste;$E$2;153)</v>
      </c>
      <c r="F152" s="154" t="s">
        <v>3032</v>
      </c>
      <c r="G152" s="21"/>
      <c r="H152" s="21"/>
    </row>
    <row r="153" spans="1:8" ht="15.75" x14ac:dyDescent="0.25">
      <c r="A153" t="s">
        <v>211</v>
      </c>
      <c r="B153" t="s">
        <v>550</v>
      </c>
      <c r="C153" s="21">
        <v>173</v>
      </c>
      <c r="D153" s="21">
        <v>152</v>
      </c>
      <c r="E153" s="21" t="str">
        <f t="shared" si="2"/>
        <v>=INDEX(Liste;$E$2;154)</v>
      </c>
      <c r="F153" s="154" t="s">
        <v>3033</v>
      </c>
      <c r="G153" s="21"/>
      <c r="H153" s="21"/>
    </row>
    <row r="154" spans="1:8" ht="15.75" x14ac:dyDescent="0.25">
      <c r="A154" t="s">
        <v>212</v>
      </c>
      <c r="B154" t="s">
        <v>551</v>
      </c>
      <c r="C154" s="21">
        <v>174</v>
      </c>
      <c r="D154" s="21">
        <v>153</v>
      </c>
      <c r="E154" s="21" t="str">
        <f t="shared" si="2"/>
        <v>=INDEX(Liste;$E$2;155)</v>
      </c>
      <c r="F154" s="154" t="s">
        <v>3034</v>
      </c>
      <c r="G154" s="21"/>
      <c r="H154" s="21"/>
    </row>
    <row r="155" spans="1:8" ht="15.75" x14ac:dyDescent="0.25">
      <c r="A155" t="s">
        <v>213</v>
      </c>
      <c r="B155" t="s">
        <v>552</v>
      </c>
      <c r="C155" s="21">
        <v>175</v>
      </c>
      <c r="D155" s="21">
        <v>154</v>
      </c>
      <c r="E155" s="21" t="str">
        <f t="shared" si="2"/>
        <v>=INDEX(Liste;$E$2;156)</v>
      </c>
      <c r="F155" s="154" t="s">
        <v>213</v>
      </c>
      <c r="G155" s="21"/>
      <c r="H155" s="21"/>
    </row>
    <row r="156" spans="1:8" ht="15.75" x14ac:dyDescent="0.25">
      <c r="A156" t="s">
        <v>214</v>
      </c>
      <c r="B156" t="s">
        <v>521</v>
      </c>
      <c r="C156" s="21">
        <v>176</v>
      </c>
      <c r="D156" s="21">
        <v>155</v>
      </c>
      <c r="E156" s="21" t="str">
        <f t="shared" si="2"/>
        <v>=INDEX(Liste;$E$2;157)</v>
      </c>
      <c r="F156" s="154" t="s">
        <v>3035</v>
      </c>
      <c r="G156" s="21"/>
      <c r="H156" s="21"/>
    </row>
    <row r="157" spans="1:8" ht="15.75" x14ac:dyDescent="0.25">
      <c r="A157" t="s">
        <v>215</v>
      </c>
      <c r="B157" t="s">
        <v>522</v>
      </c>
      <c r="C157" s="21">
        <v>177</v>
      </c>
      <c r="D157" s="21">
        <v>156</v>
      </c>
      <c r="E157" s="21" t="str">
        <f t="shared" si="2"/>
        <v>=INDEX(Liste;$E$2;158)</v>
      </c>
      <c r="F157" s="154" t="s">
        <v>3036</v>
      </c>
      <c r="G157" s="21"/>
      <c r="H157" s="21"/>
    </row>
    <row r="158" spans="1:8" ht="15.75" x14ac:dyDescent="0.25">
      <c r="A158" t="s">
        <v>216</v>
      </c>
      <c r="B158" t="s">
        <v>523</v>
      </c>
      <c r="C158" s="21">
        <v>178</v>
      </c>
      <c r="D158" s="21">
        <v>157</v>
      </c>
      <c r="E158" s="21" t="str">
        <f t="shared" si="2"/>
        <v>=INDEX(Liste;$E$2;159)</v>
      </c>
      <c r="F158" s="154" t="s">
        <v>3037</v>
      </c>
      <c r="G158" s="21"/>
      <c r="H158" s="21"/>
    </row>
    <row r="159" spans="1:8" ht="15.75" x14ac:dyDescent="0.25">
      <c r="A159" t="s">
        <v>217</v>
      </c>
      <c r="B159" t="s">
        <v>524</v>
      </c>
      <c r="C159" s="21">
        <v>179</v>
      </c>
      <c r="D159" s="21">
        <v>158</v>
      </c>
      <c r="E159" s="21" t="str">
        <f t="shared" si="2"/>
        <v>=INDEX(Liste;$E$2;160)</v>
      </c>
      <c r="F159" s="154" t="s">
        <v>3038</v>
      </c>
      <c r="G159" s="21"/>
      <c r="H159" s="21"/>
    </row>
    <row r="160" spans="1:8" ht="15.75" x14ac:dyDescent="0.25">
      <c r="A160" t="s">
        <v>2676</v>
      </c>
      <c r="B160" t="s">
        <v>553</v>
      </c>
      <c r="C160" s="21">
        <v>180</v>
      </c>
      <c r="D160" s="21">
        <v>159</v>
      </c>
      <c r="E160" s="21" t="str">
        <f t="shared" si="2"/>
        <v>=INDEX(Liste;$E$2;161)</v>
      </c>
      <c r="F160" s="154" t="s">
        <v>3039</v>
      </c>
      <c r="G160" s="21"/>
      <c r="H160" s="21"/>
    </row>
    <row r="161" spans="1:8" ht="15.75" x14ac:dyDescent="0.25">
      <c r="A161" t="s">
        <v>2677</v>
      </c>
      <c r="B161" t="s">
        <v>554</v>
      </c>
      <c r="C161" s="21">
        <v>181</v>
      </c>
      <c r="D161" s="21">
        <v>160</v>
      </c>
      <c r="E161" s="21" t="str">
        <f t="shared" si="2"/>
        <v>=INDEX(Liste;$E$2;162)</v>
      </c>
      <c r="F161" s="154" t="s">
        <v>3040</v>
      </c>
      <c r="G161" s="21"/>
      <c r="H161" s="21"/>
    </row>
    <row r="162" spans="1:8" ht="15.75" x14ac:dyDescent="0.25">
      <c r="A162" t="s">
        <v>2678</v>
      </c>
      <c r="B162" t="s">
        <v>555</v>
      </c>
      <c r="C162" s="21">
        <v>182</v>
      </c>
      <c r="D162" s="21">
        <v>161</v>
      </c>
      <c r="E162" s="21" t="str">
        <f t="shared" si="2"/>
        <v>=INDEX(Liste;$E$2;163)</v>
      </c>
      <c r="F162" s="154" t="s">
        <v>3041</v>
      </c>
      <c r="G162" s="21"/>
      <c r="H162" s="21"/>
    </row>
    <row r="163" spans="1:8" ht="15.75" x14ac:dyDescent="0.25">
      <c r="A163" t="s">
        <v>2679</v>
      </c>
      <c r="B163" t="s">
        <v>556</v>
      </c>
      <c r="C163" s="21">
        <v>183</v>
      </c>
      <c r="D163" s="21">
        <v>162</v>
      </c>
      <c r="E163" s="21" t="str">
        <f t="shared" si="2"/>
        <v>=INDEX(Liste;$E$2;164)</v>
      </c>
      <c r="F163" s="154" t="s">
        <v>3042</v>
      </c>
      <c r="G163" s="21"/>
      <c r="H163" s="21"/>
    </row>
    <row r="164" spans="1:8" ht="15.75" x14ac:dyDescent="0.25">
      <c r="A164" t="s">
        <v>218</v>
      </c>
      <c r="B164" t="s">
        <v>557</v>
      </c>
      <c r="C164" s="21">
        <v>184</v>
      </c>
      <c r="D164" s="21">
        <v>163</v>
      </c>
      <c r="E164" s="21" t="str">
        <f t="shared" si="2"/>
        <v>=INDEX(Liste;$E$2;165)</v>
      </c>
      <c r="F164" s="154" t="s">
        <v>3043</v>
      </c>
      <c r="G164" s="21"/>
      <c r="H164" s="21"/>
    </row>
    <row r="165" spans="1:8" ht="15.75" x14ac:dyDescent="0.25">
      <c r="A165" t="s">
        <v>219</v>
      </c>
      <c r="B165" t="s">
        <v>558</v>
      </c>
      <c r="C165" s="21">
        <v>185</v>
      </c>
      <c r="D165" s="21">
        <v>164</v>
      </c>
      <c r="E165" s="21" t="str">
        <f t="shared" si="2"/>
        <v>=INDEX(Liste;$E$2;166)</v>
      </c>
      <c r="F165" s="154" t="s">
        <v>3044</v>
      </c>
      <c r="G165" s="21"/>
      <c r="H165" s="21"/>
    </row>
    <row r="166" spans="1:8" ht="15.75" x14ac:dyDescent="0.25">
      <c r="A166" t="s">
        <v>220</v>
      </c>
      <c r="B166" t="s">
        <v>559</v>
      </c>
      <c r="C166" s="21">
        <v>186</v>
      </c>
      <c r="D166" s="21">
        <v>165</v>
      </c>
      <c r="E166" s="21" t="str">
        <f t="shared" si="2"/>
        <v>=INDEX(Liste;$E$2;167)</v>
      </c>
      <c r="F166" s="154" t="s">
        <v>3045</v>
      </c>
      <c r="G166" s="21"/>
      <c r="H166" s="21"/>
    </row>
    <row r="167" spans="1:8" ht="15.75" x14ac:dyDescent="0.25">
      <c r="A167" t="s">
        <v>221</v>
      </c>
      <c r="B167" t="s">
        <v>560</v>
      </c>
      <c r="C167" s="21">
        <v>187</v>
      </c>
      <c r="D167" s="21">
        <v>166</v>
      </c>
      <c r="E167" s="21" t="str">
        <f t="shared" si="2"/>
        <v>=INDEX(Liste;$E$2;168)</v>
      </c>
      <c r="F167" s="154" t="s">
        <v>3046</v>
      </c>
      <c r="G167" s="21"/>
      <c r="H167" s="21"/>
    </row>
    <row r="168" spans="1:8" ht="15.75" x14ac:dyDescent="0.25">
      <c r="A168" t="s">
        <v>222</v>
      </c>
      <c r="B168" t="s">
        <v>561</v>
      </c>
      <c r="C168" s="21">
        <v>188</v>
      </c>
      <c r="D168" s="21">
        <v>167</v>
      </c>
      <c r="E168" s="21" t="str">
        <f t="shared" si="2"/>
        <v>=INDEX(Liste;$E$2;169)</v>
      </c>
      <c r="F168" s="154" t="s">
        <v>3047</v>
      </c>
      <c r="G168" s="21"/>
      <c r="H168" s="21"/>
    </row>
    <row r="169" spans="1:8" ht="15.75" x14ac:dyDescent="0.25">
      <c r="A169" t="s">
        <v>223</v>
      </c>
      <c r="B169" t="s">
        <v>562</v>
      </c>
      <c r="C169" s="21">
        <v>189</v>
      </c>
      <c r="D169" s="21">
        <v>168</v>
      </c>
      <c r="E169" s="21" t="str">
        <f t="shared" si="2"/>
        <v>=INDEX(Liste;$E$2;170)</v>
      </c>
      <c r="F169" s="154" t="s">
        <v>3048</v>
      </c>
      <c r="G169" s="21"/>
      <c r="H169" s="21"/>
    </row>
    <row r="170" spans="1:8" ht="15.75" x14ac:dyDescent="0.25">
      <c r="A170" t="s">
        <v>224</v>
      </c>
      <c r="B170" t="s">
        <v>563</v>
      </c>
      <c r="C170" s="21">
        <v>190</v>
      </c>
      <c r="D170" s="21">
        <v>169</v>
      </c>
      <c r="E170" s="21" t="str">
        <f t="shared" si="2"/>
        <v>=INDEX(Liste;$E$2;171)</v>
      </c>
      <c r="F170" s="154" t="s">
        <v>3049</v>
      </c>
      <c r="G170" s="21"/>
      <c r="H170" s="21"/>
    </row>
    <row r="171" spans="1:8" ht="15.75" x14ac:dyDescent="0.25">
      <c r="A171" t="s">
        <v>225</v>
      </c>
      <c r="B171" t="s">
        <v>564</v>
      </c>
      <c r="C171" s="21">
        <v>191</v>
      </c>
      <c r="D171" s="21">
        <v>170</v>
      </c>
      <c r="E171" s="21" t="str">
        <f t="shared" si="2"/>
        <v>=INDEX(Liste;$E$2;172)</v>
      </c>
      <c r="F171" s="154" t="s">
        <v>3050</v>
      </c>
      <c r="G171" s="21"/>
      <c r="H171" s="21"/>
    </row>
    <row r="172" spans="1:8" ht="15.75" x14ac:dyDescent="0.25">
      <c r="A172" t="s">
        <v>226</v>
      </c>
      <c r="B172" t="s">
        <v>565</v>
      </c>
      <c r="C172" s="21">
        <v>192</v>
      </c>
      <c r="D172" s="21">
        <v>171</v>
      </c>
      <c r="E172" s="21" t="str">
        <f t="shared" si="2"/>
        <v>=INDEX(Liste;$E$2;173)</v>
      </c>
      <c r="F172" s="154" t="s">
        <v>3051</v>
      </c>
      <c r="G172" s="21"/>
      <c r="H172" s="21"/>
    </row>
    <row r="173" spans="1:8" ht="15.75" x14ac:dyDescent="0.25">
      <c r="A173" t="s">
        <v>227</v>
      </c>
      <c r="B173" t="s">
        <v>566</v>
      </c>
      <c r="C173" s="21">
        <v>193</v>
      </c>
      <c r="D173" s="21">
        <v>172</v>
      </c>
      <c r="E173" s="21" t="str">
        <f t="shared" si="2"/>
        <v>=INDEX(Liste;$E$2;174)</v>
      </c>
      <c r="F173" s="154" t="s">
        <v>3052</v>
      </c>
      <c r="G173" s="21"/>
      <c r="H173" s="21"/>
    </row>
    <row r="174" spans="1:8" ht="15.75" x14ac:dyDescent="0.25">
      <c r="A174" t="s">
        <v>228</v>
      </c>
      <c r="B174" t="s">
        <v>567</v>
      </c>
      <c r="C174" s="21">
        <v>194</v>
      </c>
      <c r="D174" s="21">
        <v>173</v>
      </c>
      <c r="E174" s="21" t="str">
        <f t="shared" si="2"/>
        <v>=INDEX(Liste;$E$2;175)</v>
      </c>
      <c r="F174" s="154" t="s">
        <v>3053</v>
      </c>
      <c r="G174" s="21"/>
      <c r="H174" s="21"/>
    </row>
    <row r="175" spans="1:8" ht="15.75" x14ac:dyDescent="0.25">
      <c r="A175" t="s">
        <v>229</v>
      </c>
      <c r="B175" t="s">
        <v>568</v>
      </c>
      <c r="C175" s="21">
        <v>195</v>
      </c>
      <c r="D175" s="21">
        <v>174</v>
      </c>
      <c r="E175" s="21" t="str">
        <f t="shared" si="2"/>
        <v>=INDEX(Liste;$E$2;176)</v>
      </c>
      <c r="F175" s="154" t="s">
        <v>3054</v>
      </c>
      <c r="G175" s="21"/>
      <c r="H175" s="21"/>
    </row>
    <row r="176" spans="1:8" ht="15.75" x14ac:dyDescent="0.25">
      <c r="A176" t="s">
        <v>2710</v>
      </c>
      <c r="B176" t="s">
        <v>569</v>
      </c>
      <c r="C176" s="21">
        <v>196</v>
      </c>
      <c r="D176" s="21">
        <v>175</v>
      </c>
      <c r="E176" s="21" t="str">
        <f t="shared" si="2"/>
        <v>=INDEX(Liste;$E$2;177)</v>
      </c>
      <c r="F176" s="154" t="s">
        <v>3055</v>
      </c>
      <c r="G176" s="21"/>
      <c r="H176" s="21"/>
    </row>
    <row r="177" spans="1:8" ht="15.75" x14ac:dyDescent="0.25">
      <c r="A177" t="s">
        <v>2711</v>
      </c>
      <c r="B177" t="s">
        <v>570</v>
      </c>
      <c r="C177" s="21">
        <v>197</v>
      </c>
      <c r="D177" s="21">
        <v>176</v>
      </c>
      <c r="E177" s="21" t="str">
        <f t="shared" si="2"/>
        <v>=INDEX(Liste;$E$2;178)</v>
      </c>
      <c r="F177" s="154" t="s">
        <v>3056</v>
      </c>
      <c r="G177" s="21"/>
      <c r="H177" s="21"/>
    </row>
    <row r="178" spans="1:8" ht="15.75" x14ac:dyDescent="0.25">
      <c r="A178" t="s">
        <v>2712</v>
      </c>
      <c r="B178" t="s">
        <v>571</v>
      </c>
      <c r="C178" s="21">
        <v>198</v>
      </c>
      <c r="D178" s="21">
        <v>177</v>
      </c>
      <c r="E178" s="21" t="str">
        <f t="shared" si="2"/>
        <v>=INDEX(Liste;$E$2;179)</v>
      </c>
      <c r="F178" s="154" t="s">
        <v>3057</v>
      </c>
      <c r="G178" s="21"/>
      <c r="H178" s="21"/>
    </row>
    <row r="179" spans="1:8" ht="15.75" x14ac:dyDescent="0.25">
      <c r="A179" t="s">
        <v>2713</v>
      </c>
      <c r="B179" t="s">
        <v>572</v>
      </c>
      <c r="C179" s="21">
        <v>199</v>
      </c>
      <c r="D179" s="21">
        <v>178</v>
      </c>
      <c r="E179" s="21" t="str">
        <f t="shared" si="2"/>
        <v>=INDEX(Liste;$E$2;180)</v>
      </c>
      <c r="F179" s="154" t="s">
        <v>3058</v>
      </c>
      <c r="G179" s="21"/>
      <c r="H179" s="21"/>
    </row>
    <row r="180" spans="1:8" ht="15.75" x14ac:dyDescent="0.25">
      <c r="A180" t="s">
        <v>2714</v>
      </c>
      <c r="B180" t="s">
        <v>573</v>
      </c>
      <c r="C180" s="21">
        <v>200</v>
      </c>
      <c r="D180" s="21">
        <v>179</v>
      </c>
      <c r="E180" s="21" t="str">
        <f t="shared" si="2"/>
        <v>=INDEX(Liste;$E$2;181)</v>
      </c>
      <c r="F180" s="154" t="s">
        <v>3059</v>
      </c>
      <c r="G180" s="21"/>
      <c r="H180" s="21"/>
    </row>
    <row r="181" spans="1:8" ht="15.75" x14ac:dyDescent="0.25">
      <c r="A181" t="s">
        <v>2715</v>
      </c>
      <c r="B181" t="s">
        <v>574</v>
      </c>
      <c r="C181" s="21">
        <v>201</v>
      </c>
      <c r="D181" s="21">
        <v>180</v>
      </c>
      <c r="E181" s="21" t="str">
        <f t="shared" si="2"/>
        <v>=INDEX(Liste;$E$2;182)</v>
      </c>
      <c r="F181" s="154" t="s">
        <v>3060</v>
      </c>
      <c r="G181" s="21"/>
      <c r="H181" s="21"/>
    </row>
    <row r="182" spans="1:8" ht="15.75" x14ac:dyDescent="0.25">
      <c r="A182" t="s">
        <v>2716</v>
      </c>
      <c r="B182" t="s">
        <v>575</v>
      </c>
      <c r="C182" s="21">
        <v>202</v>
      </c>
      <c r="D182" s="21">
        <v>181</v>
      </c>
      <c r="E182" s="21" t="str">
        <f t="shared" si="2"/>
        <v>=INDEX(Liste;$E$2;183)</v>
      </c>
      <c r="F182" s="154" t="s">
        <v>3061</v>
      </c>
      <c r="G182" s="21"/>
      <c r="H182" s="21"/>
    </row>
    <row r="183" spans="1:8" ht="15.75" x14ac:dyDescent="0.25">
      <c r="A183" t="s">
        <v>2717</v>
      </c>
      <c r="B183" t="s">
        <v>576</v>
      </c>
      <c r="C183" s="21">
        <v>203</v>
      </c>
      <c r="D183" s="21">
        <v>182</v>
      </c>
      <c r="E183" s="21" t="str">
        <f t="shared" si="2"/>
        <v>=INDEX(Liste;$E$2;184)</v>
      </c>
      <c r="F183" s="154" t="s">
        <v>3062</v>
      </c>
      <c r="G183" s="21"/>
      <c r="H183" s="21"/>
    </row>
    <row r="184" spans="1:8" ht="15.75" x14ac:dyDescent="0.25">
      <c r="A184" t="s">
        <v>230</v>
      </c>
      <c r="B184" t="s">
        <v>577</v>
      </c>
      <c r="C184" s="21">
        <v>204</v>
      </c>
      <c r="D184" s="21">
        <v>183</v>
      </c>
      <c r="E184" s="21" t="str">
        <f t="shared" si="2"/>
        <v>=INDEX(Liste;$E$2;185)</v>
      </c>
      <c r="F184" s="154" t="s">
        <v>3063</v>
      </c>
      <c r="G184" s="21"/>
      <c r="H184" s="21"/>
    </row>
    <row r="185" spans="1:8" ht="15.75" x14ac:dyDescent="0.25">
      <c r="A185" t="s">
        <v>231</v>
      </c>
      <c r="B185" t="s">
        <v>578</v>
      </c>
      <c r="C185" s="21">
        <v>205</v>
      </c>
      <c r="D185" s="21">
        <v>184</v>
      </c>
      <c r="E185" s="21" t="str">
        <f t="shared" si="2"/>
        <v>=INDEX(Liste;$E$2;186)</v>
      </c>
      <c r="F185" s="154" t="s">
        <v>3064</v>
      </c>
      <c r="G185" s="21"/>
      <c r="H185" s="21"/>
    </row>
    <row r="186" spans="1:8" ht="15.75" x14ac:dyDescent="0.25">
      <c r="A186" t="s">
        <v>232</v>
      </c>
      <c r="B186" t="s">
        <v>579</v>
      </c>
      <c r="C186" s="21">
        <v>206</v>
      </c>
      <c r="D186" s="21">
        <v>185</v>
      </c>
      <c r="E186" s="21" t="str">
        <f t="shared" si="2"/>
        <v>=INDEX(Liste;$E$2;187)</v>
      </c>
      <c r="F186" s="154" t="s">
        <v>3065</v>
      </c>
      <c r="G186" s="21"/>
      <c r="H186" s="21"/>
    </row>
    <row r="187" spans="1:8" ht="15.75" x14ac:dyDescent="0.25">
      <c r="A187" t="s">
        <v>233</v>
      </c>
      <c r="B187" t="s">
        <v>580</v>
      </c>
      <c r="C187" s="21">
        <v>207</v>
      </c>
      <c r="D187" s="21">
        <v>186</v>
      </c>
      <c r="E187" s="21" t="str">
        <f t="shared" si="2"/>
        <v>=INDEX(Liste;$E$2;188)</v>
      </c>
      <c r="F187" s="154" t="s">
        <v>3066</v>
      </c>
      <c r="G187" s="21"/>
      <c r="H187" s="21"/>
    </row>
    <row r="188" spans="1:8" ht="15.75" x14ac:dyDescent="0.25">
      <c r="A188" t="s">
        <v>234</v>
      </c>
      <c r="B188" t="s">
        <v>581</v>
      </c>
      <c r="C188" s="21">
        <v>208</v>
      </c>
      <c r="D188" s="21">
        <v>187</v>
      </c>
      <c r="E188" s="21" t="str">
        <f t="shared" si="2"/>
        <v>=INDEX(Liste;$E$2;189)</v>
      </c>
      <c r="F188" s="154" t="s">
        <v>3067</v>
      </c>
      <c r="G188" s="21"/>
      <c r="H188" s="21"/>
    </row>
    <row r="189" spans="1:8" ht="15.75" x14ac:dyDescent="0.25">
      <c r="A189" t="s">
        <v>235</v>
      </c>
      <c r="B189" t="s">
        <v>582</v>
      </c>
      <c r="C189" s="21">
        <v>209</v>
      </c>
      <c r="D189" s="21">
        <v>188</v>
      </c>
      <c r="E189" s="21" t="str">
        <f t="shared" si="2"/>
        <v>=INDEX(Liste;$E$2;190)</v>
      </c>
      <c r="F189" s="154" t="s">
        <v>3068</v>
      </c>
      <c r="G189" s="21"/>
      <c r="H189" s="21"/>
    </row>
    <row r="190" spans="1:8" ht="15.75" x14ac:dyDescent="0.25">
      <c r="A190" t="s">
        <v>236</v>
      </c>
      <c r="B190" t="s">
        <v>583</v>
      </c>
      <c r="C190" s="21">
        <v>210</v>
      </c>
      <c r="D190" s="21">
        <v>189</v>
      </c>
      <c r="E190" s="21" t="str">
        <f t="shared" si="2"/>
        <v>=INDEX(Liste;$E$2;191)</v>
      </c>
      <c r="F190" s="154" t="s">
        <v>3069</v>
      </c>
      <c r="G190" s="21"/>
      <c r="H190" s="21"/>
    </row>
    <row r="191" spans="1:8" ht="15.75" x14ac:dyDescent="0.25">
      <c r="A191" t="s">
        <v>237</v>
      </c>
      <c r="B191" t="s">
        <v>584</v>
      </c>
      <c r="C191" s="21">
        <v>211</v>
      </c>
      <c r="D191" s="21">
        <v>190</v>
      </c>
      <c r="E191" s="21" t="str">
        <f t="shared" si="2"/>
        <v>=INDEX(Liste;$E$2;192)</v>
      </c>
      <c r="F191" s="154" t="s">
        <v>3070</v>
      </c>
      <c r="G191" s="21"/>
      <c r="H191" s="21"/>
    </row>
    <row r="192" spans="1:8" ht="15.75" x14ac:dyDescent="0.25">
      <c r="A192" t="s">
        <v>238</v>
      </c>
      <c r="B192" t="s">
        <v>585</v>
      </c>
      <c r="C192" s="21">
        <v>212</v>
      </c>
      <c r="D192" s="21">
        <v>191</v>
      </c>
      <c r="E192" s="21" t="str">
        <f t="shared" si="2"/>
        <v>=INDEX(Liste;$E$2;193)</v>
      </c>
      <c r="F192" s="154" t="s">
        <v>3071</v>
      </c>
      <c r="G192" s="21"/>
      <c r="H192" s="21"/>
    </row>
    <row r="193" spans="1:8" ht="15.75" x14ac:dyDescent="0.25">
      <c r="A193" t="s">
        <v>239</v>
      </c>
      <c r="B193" t="s">
        <v>586</v>
      </c>
      <c r="C193" s="21">
        <v>213</v>
      </c>
      <c r="D193" s="21">
        <v>192</v>
      </c>
      <c r="E193" s="21" t="str">
        <f t="shared" si="2"/>
        <v>=INDEX(Liste;$E$2;194)</v>
      </c>
      <c r="F193" s="154" t="s">
        <v>3072</v>
      </c>
      <c r="G193" s="21"/>
      <c r="H193" s="21"/>
    </row>
    <row r="194" spans="1:8" ht="15.75" x14ac:dyDescent="0.25">
      <c r="A194" t="s">
        <v>240</v>
      </c>
      <c r="B194" t="s">
        <v>587</v>
      </c>
      <c r="C194" s="21">
        <v>214</v>
      </c>
      <c r="D194" s="21">
        <v>193</v>
      </c>
      <c r="E194" s="21" t="str">
        <f t="shared" si="2"/>
        <v>=INDEX(Liste;$E$2;195)</v>
      </c>
      <c r="F194" s="154" t="s">
        <v>3073</v>
      </c>
      <c r="G194" s="21"/>
      <c r="H194" s="21"/>
    </row>
    <row r="195" spans="1:8" ht="15.75" x14ac:dyDescent="0.25">
      <c r="A195" t="s">
        <v>241</v>
      </c>
      <c r="B195" t="s">
        <v>588</v>
      </c>
      <c r="C195" s="21">
        <v>215</v>
      </c>
      <c r="D195" s="21">
        <v>194</v>
      </c>
      <c r="E195" s="21" t="str">
        <f t="shared" ref="E195:E258" si="3">"=INDEX(Liste;$E$2;"&amp;D195+2&amp;")"</f>
        <v>=INDEX(Liste;$E$2;196)</v>
      </c>
      <c r="F195" s="154" t="s">
        <v>3074</v>
      </c>
      <c r="G195" s="21"/>
      <c r="H195" s="21"/>
    </row>
    <row r="196" spans="1:8" ht="15.75" x14ac:dyDescent="0.25">
      <c r="A196" t="s">
        <v>242</v>
      </c>
      <c r="B196" t="s">
        <v>589</v>
      </c>
      <c r="C196" s="21">
        <v>216</v>
      </c>
      <c r="D196" s="21">
        <v>195</v>
      </c>
      <c r="E196" s="21" t="str">
        <f t="shared" si="3"/>
        <v>=INDEX(Liste;$E$2;197)</v>
      </c>
      <c r="F196" s="154" t="s">
        <v>3075</v>
      </c>
      <c r="G196" s="21"/>
      <c r="H196" s="21"/>
    </row>
    <row r="197" spans="1:8" ht="15.75" x14ac:dyDescent="0.25">
      <c r="A197" t="s">
        <v>243</v>
      </c>
      <c r="B197" t="s">
        <v>590</v>
      </c>
      <c r="C197" s="21">
        <v>217</v>
      </c>
      <c r="D197" s="21">
        <v>196</v>
      </c>
      <c r="E197" s="21" t="str">
        <f t="shared" si="3"/>
        <v>=INDEX(Liste;$E$2;198)</v>
      </c>
      <c r="F197" s="154" t="s">
        <v>3076</v>
      </c>
      <c r="G197" s="21"/>
      <c r="H197" s="21"/>
    </row>
    <row r="198" spans="1:8" ht="15.75" x14ac:dyDescent="0.25">
      <c r="A198" t="s">
        <v>244</v>
      </c>
      <c r="B198" t="s">
        <v>591</v>
      </c>
      <c r="C198" s="21">
        <v>218</v>
      </c>
      <c r="D198" s="21">
        <v>197</v>
      </c>
      <c r="E198" s="21" t="str">
        <f t="shared" si="3"/>
        <v>=INDEX(Liste;$E$2;199)</v>
      </c>
      <c r="F198" s="154" t="s">
        <v>3077</v>
      </c>
      <c r="G198" s="21"/>
      <c r="H198" s="21"/>
    </row>
    <row r="199" spans="1:8" ht="15.75" x14ac:dyDescent="0.25">
      <c r="A199" t="s">
        <v>245</v>
      </c>
      <c r="B199" t="s">
        <v>592</v>
      </c>
      <c r="C199" s="21">
        <v>219</v>
      </c>
      <c r="D199" s="21">
        <v>198</v>
      </c>
      <c r="E199" s="21" t="str">
        <f t="shared" si="3"/>
        <v>=INDEX(Liste;$E$2;200)</v>
      </c>
      <c r="F199" s="154" t="s">
        <v>3078</v>
      </c>
      <c r="G199" s="21"/>
      <c r="H199" s="21"/>
    </row>
    <row r="200" spans="1:8" ht="15.75" x14ac:dyDescent="0.25">
      <c r="A200" t="s">
        <v>2682</v>
      </c>
      <c r="B200" t="s">
        <v>593</v>
      </c>
      <c r="C200" s="21">
        <v>220</v>
      </c>
      <c r="D200" s="21">
        <v>199</v>
      </c>
      <c r="E200" s="21" t="str">
        <f t="shared" si="3"/>
        <v>=INDEX(Liste;$E$2;201)</v>
      </c>
      <c r="F200" s="154" t="s">
        <v>3079</v>
      </c>
      <c r="G200" s="21"/>
      <c r="H200" s="21"/>
    </row>
    <row r="201" spans="1:8" ht="15.75" x14ac:dyDescent="0.25">
      <c r="A201" t="s">
        <v>2683</v>
      </c>
      <c r="B201" t="s">
        <v>594</v>
      </c>
      <c r="C201" s="21">
        <v>221</v>
      </c>
      <c r="D201" s="21">
        <v>200</v>
      </c>
      <c r="E201" s="21" t="str">
        <f t="shared" si="3"/>
        <v>=INDEX(Liste;$E$2;202)</v>
      </c>
      <c r="F201" s="154" t="s">
        <v>3080</v>
      </c>
      <c r="G201" s="21"/>
      <c r="H201" s="21"/>
    </row>
    <row r="202" spans="1:8" ht="15.75" x14ac:dyDescent="0.25">
      <c r="A202" t="s">
        <v>246</v>
      </c>
      <c r="B202" t="s">
        <v>595</v>
      </c>
      <c r="C202" s="21">
        <v>222</v>
      </c>
      <c r="D202" s="21">
        <v>201</v>
      </c>
      <c r="E202" s="21" t="str">
        <f t="shared" si="3"/>
        <v>=INDEX(Liste;$E$2;203)</v>
      </c>
      <c r="F202" s="154" t="s">
        <v>3081</v>
      </c>
      <c r="G202" s="21"/>
      <c r="H202" s="21"/>
    </row>
    <row r="203" spans="1:8" ht="15.75" x14ac:dyDescent="0.25">
      <c r="A203" t="s">
        <v>247</v>
      </c>
      <c r="B203" t="s">
        <v>596</v>
      </c>
      <c r="C203" s="21">
        <v>223</v>
      </c>
      <c r="D203" s="21">
        <v>202</v>
      </c>
      <c r="E203" s="21" t="str">
        <f t="shared" si="3"/>
        <v>=INDEX(Liste;$E$2;204)</v>
      </c>
      <c r="F203" s="154" t="s">
        <v>3082</v>
      </c>
      <c r="G203" s="21"/>
      <c r="H203" s="21"/>
    </row>
    <row r="204" spans="1:8" ht="15.75" x14ac:dyDescent="0.25">
      <c r="A204" t="s">
        <v>248</v>
      </c>
      <c r="B204" t="s">
        <v>597</v>
      </c>
      <c r="C204" s="21">
        <v>224</v>
      </c>
      <c r="D204" s="21">
        <v>203</v>
      </c>
      <c r="E204" s="21" t="str">
        <f t="shared" si="3"/>
        <v>=INDEX(Liste;$E$2;205)</v>
      </c>
      <c r="F204" s="154" t="s">
        <v>3083</v>
      </c>
      <c r="G204" s="21"/>
      <c r="H204" s="21"/>
    </row>
    <row r="205" spans="1:8" ht="15.75" x14ac:dyDescent="0.25">
      <c r="A205" t="s">
        <v>249</v>
      </c>
      <c r="B205" t="s">
        <v>598</v>
      </c>
      <c r="C205" s="21">
        <v>225</v>
      </c>
      <c r="D205" s="21">
        <v>204</v>
      </c>
      <c r="E205" s="21" t="str">
        <f t="shared" si="3"/>
        <v>=INDEX(Liste;$E$2;206)</v>
      </c>
      <c r="F205" s="154" t="s">
        <v>3084</v>
      </c>
      <c r="G205" s="21"/>
      <c r="H205" s="21"/>
    </row>
    <row r="206" spans="1:8" ht="15.75" x14ac:dyDescent="0.25">
      <c r="A206" t="s">
        <v>250</v>
      </c>
      <c r="B206" t="s">
        <v>599</v>
      </c>
      <c r="C206" s="21">
        <v>226</v>
      </c>
      <c r="D206" s="21">
        <v>205</v>
      </c>
      <c r="E206" s="21" t="str">
        <f t="shared" si="3"/>
        <v>=INDEX(Liste;$E$2;207)</v>
      </c>
      <c r="F206" s="154" t="s">
        <v>250</v>
      </c>
      <c r="G206" s="21"/>
      <c r="H206" s="21"/>
    </row>
    <row r="207" spans="1:8" ht="15.75" x14ac:dyDescent="0.25">
      <c r="A207" t="s">
        <v>251</v>
      </c>
      <c r="B207" t="s">
        <v>600</v>
      </c>
      <c r="C207" s="21">
        <v>227</v>
      </c>
      <c r="D207" s="21">
        <v>206</v>
      </c>
      <c r="E207" s="21" t="str">
        <f t="shared" si="3"/>
        <v>=INDEX(Liste;$E$2;208)</v>
      </c>
      <c r="F207" s="154" t="s">
        <v>251</v>
      </c>
      <c r="G207" s="21"/>
      <c r="H207" s="21"/>
    </row>
    <row r="208" spans="1:8" ht="15.75" x14ac:dyDescent="0.25">
      <c r="A208" t="s">
        <v>2684</v>
      </c>
      <c r="B208" t="s">
        <v>601</v>
      </c>
      <c r="C208" s="21">
        <v>228</v>
      </c>
      <c r="D208" s="21">
        <v>207</v>
      </c>
      <c r="E208" s="21" t="str">
        <f t="shared" si="3"/>
        <v>=INDEX(Liste;$E$2;209)</v>
      </c>
      <c r="F208" s="154" t="s">
        <v>3085</v>
      </c>
      <c r="G208" s="21"/>
      <c r="H208" s="21"/>
    </row>
    <row r="209" spans="1:8" ht="15.75" x14ac:dyDescent="0.25">
      <c r="A209" t="s">
        <v>2685</v>
      </c>
      <c r="B209" t="s">
        <v>602</v>
      </c>
      <c r="C209" s="21">
        <v>229</v>
      </c>
      <c r="D209" s="21">
        <v>208</v>
      </c>
      <c r="E209" s="21" t="str">
        <f t="shared" si="3"/>
        <v>=INDEX(Liste;$E$2;210)</v>
      </c>
      <c r="F209" s="154" t="s">
        <v>3086</v>
      </c>
      <c r="G209" s="21"/>
      <c r="H209" s="21"/>
    </row>
    <row r="210" spans="1:8" ht="15.75" x14ac:dyDescent="0.25">
      <c r="A210" t="s">
        <v>252</v>
      </c>
      <c r="B210" t="s">
        <v>603</v>
      </c>
      <c r="C210" s="21">
        <v>230</v>
      </c>
      <c r="D210" s="21">
        <v>209</v>
      </c>
      <c r="E210" s="21" t="str">
        <f t="shared" si="3"/>
        <v>=INDEX(Liste;$E$2;211)</v>
      </c>
      <c r="F210" s="154" t="s">
        <v>252</v>
      </c>
      <c r="G210" s="21"/>
      <c r="H210" s="21"/>
    </row>
    <row r="211" spans="1:8" ht="15.75" x14ac:dyDescent="0.25">
      <c r="A211" t="s">
        <v>253</v>
      </c>
      <c r="B211" t="s">
        <v>604</v>
      </c>
      <c r="C211" s="21">
        <v>231</v>
      </c>
      <c r="D211" s="21">
        <v>210</v>
      </c>
      <c r="E211" s="21" t="str">
        <f t="shared" si="3"/>
        <v>=INDEX(Liste;$E$2;212)</v>
      </c>
      <c r="F211" s="154" t="s">
        <v>253</v>
      </c>
      <c r="G211" s="21"/>
      <c r="H211" s="21"/>
    </row>
    <row r="212" spans="1:8" ht="15.75" x14ac:dyDescent="0.25">
      <c r="A212" t="s">
        <v>254</v>
      </c>
      <c r="B212" t="s">
        <v>605</v>
      </c>
      <c r="C212" s="21">
        <v>232</v>
      </c>
      <c r="D212" s="21">
        <v>211</v>
      </c>
      <c r="E212" s="21" t="str">
        <f t="shared" si="3"/>
        <v>=INDEX(Liste;$E$2;213)</v>
      </c>
      <c r="F212" s="154" t="s">
        <v>254</v>
      </c>
      <c r="G212" s="21"/>
      <c r="H212" s="21"/>
    </row>
    <row r="213" spans="1:8" ht="15.75" x14ac:dyDescent="0.25">
      <c r="A213" t="s">
        <v>255</v>
      </c>
      <c r="B213" t="s">
        <v>606</v>
      </c>
      <c r="C213" s="21">
        <v>233</v>
      </c>
      <c r="D213" s="21">
        <v>212</v>
      </c>
      <c r="E213" s="21" t="str">
        <f t="shared" si="3"/>
        <v>=INDEX(Liste;$E$2;214)</v>
      </c>
      <c r="F213" s="154" t="s">
        <v>255</v>
      </c>
      <c r="G213" s="21"/>
      <c r="H213" s="21"/>
    </row>
    <row r="214" spans="1:8" ht="15.75" x14ac:dyDescent="0.25">
      <c r="A214" t="s">
        <v>2718</v>
      </c>
      <c r="B214" t="s">
        <v>607</v>
      </c>
      <c r="C214" s="21">
        <v>234</v>
      </c>
      <c r="D214" s="21">
        <v>213</v>
      </c>
      <c r="E214" s="21" t="str">
        <f t="shared" si="3"/>
        <v>=INDEX(Liste;$E$2;215)</v>
      </c>
      <c r="F214" s="154" t="s">
        <v>3087</v>
      </c>
      <c r="G214" s="21"/>
      <c r="H214" s="21"/>
    </row>
    <row r="215" spans="1:8" ht="15.75" x14ac:dyDescent="0.25">
      <c r="A215" t="s">
        <v>2719</v>
      </c>
      <c r="B215" t="s">
        <v>608</v>
      </c>
      <c r="C215" s="21">
        <v>235</v>
      </c>
      <c r="D215" s="21">
        <v>214</v>
      </c>
      <c r="E215" s="21" t="str">
        <f t="shared" si="3"/>
        <v>=INDEX(Liste;$E$2;216)</v>
      </c>
      <c r="F215" s="154" t="s">
        <v>3088</v>
      </c>
      <c r="G215" s="21"/>
      <c r="H215" s="21"/>
    </row>
    <row r="216" spans="1:8" ht="15.75" x14ac:dyDescent="0.25">
      <c r="A216" t="s">
        <v>256</v>
      </c>
      <c r="B216" t="s">
        <v>609</v>
      </c>
      <c r="C216" s="21">
        <v>236</v>
      </c>
      <c r="D216" s="21">
        <v>215</v>
      </c>
      <c r="E216" s="21" t="str">
        <f t="shared" si="3"/>
        <v>=INDEX(Liste;$E$2;217)</v>
      </c>
      <c r="F216" s="154" t="s">
        <v>256</v>
      </c>
      <c r="G216" s="21"/>
      <c r="H216" s="21"/>
    </row>
    <row r="217" spans="1:8" ht="15.75" x14ac:dyDescent="0.25">
      <c r="A217" t="s">
        <v>257</v>
      </c>
      <c r="B217" t="s">
        <v>610</v>
      </c>
      <c r="C217" s="21">
        <v>237</v>
      </c>
      <c r="D217" s="21">
        <v>216</v>
      </c>
      <c r="E217" s="21" t="str">
        <f t="shared" si="3"/>
        <v>=INDEX(Liste;$E$2;218)</v>
      </c>
      <c r="F217" s="154" t="s">
        <v>257</v>
      </c>
      <c r="G217" s="21"/>
      <c r="H217" s="21"/>
    </row>
    <row r="218" spans="1:8" ht="15.75" x14ac:dyDescent="0.25">
      <c r="A218" t="s">
        <v>258</v>
      </c>
      <c r="B218" t="s">
        <v>611</v>
      </c>
      <c r="C218" s="21">
        <v>238</v>
      </c>
      <c r="D218" s="21">
        <v>217</v>
      </c>
      <c r="E218" s="21" t="str">
        <f t="shared" si="3"/>
        <v>=INDEX(Liste;$E$2;219)</v>
      </c>
      <c r="F218" s="154" t="s">
        <v>3089</v>
      </c>
      <c r="G218" s="21"/>
      <c r="H218" s="21"/>
    </row>
    <row r="219" spans="1:8" ht="15.75" x14ac:dyDescent="0.25">
      <c r="A219" t="s">
        <v>259</v>
      </c>
      <c r="B219" t="s">
        <v>612</v>
      </c>
      <c r="C219" s="21">
        <v>239</v>
      </c>
      <c r="D219" s="21">
        <v>218</v>
      </c>
      <c r="E219" s="21" t="str">
        <f t="shared" si="3"/>
        <v>=INDEX(Liste;$E$2;220)</v>
      </c>
      <c r="F219" s="154" t="s">
        <v>3090</v>
      </c>
      <c r="G219" s="21"/>
      <c r="H219" s="21"/>
    </row>
    <row r="220" spans="1:8" ht="15.75" x14ac:dyDescent="0.25">
      <c r="A220" t="s">
        <v>2688</v>
      </c>
      <c r="B220" t="s">
        <v>613</v>
      </c>
      <c r="C220" s="21">
        <v>240</v>
      </c>
      <c r="D220" s="21">
        <v>219</v>
      </c>
      <c r="E220" s="21" t="str">
        <f t="shared" si="3"/>
        <v>=INDEX(Liste;$E$2;221)</v>
      </c>
      <c r="F220" s="154" t="s">
        <v>3091</v>
      </c>
      <c r="G220" s="21"/>
      <c r="H220" s="21"/>
    </row>
    <row r="221" spans="1:8" ht="15.75" x14ac:dyDescent="0.25">
      <c r="A221" t="s">
        <v>2689</v>
      </c>
      <c r="B221" t="s">
        <v>614</v>
      </c>
      <c r="C221" s="21">
        <v>241</v>
      </c>
      <c r="D221" s="21">
        <v>220</v>
      </c>
      <c r="E221" s="21" t="str">
        <f t="shared" si="3"/>
        <v>=INDEX(Liste;$E$2;222)</v>
      </c>
      <c r="F221" s="154" t="s">
        <v>3092</v>
      </c>
      <c r="G221" s="21"/>
      <c r="H221" s="21"/>
    </row>
    <row r="222" spans="1:8" ht="15.75" x14ac:dyDescent="0.25">
      <c r="A222" t="s">
        <v>260</v>
      </c>
      <c r="B222" t="s">
        <v>615</v>
      </c>
      <c r="C222" s="21">
        <v>242</v>
      </c>
      <c r="D222" s="21">
        <v>221</v>
      </c>
      <c r="E222" s="21" t="str">
        <f t="shared" si="3"/>
        <v>=INDEX(Liste;$E$2;223)</v>
      </c>
      <c r="F222" s="154" t="s">
        <v>260</v>
      </c>
      <c r="G222" s="21"/>
      <c r="H222" s="21"/>
    </row>
    <row r="223" spans="1:8" ht="15.75" x14ac:dyDescent="0.25">
      <c r="A223" t="s">
        <v>261</v>
      </c>
      <c r="B223" t="s">
        <v>616</v>
      </c>
      <c r="C223" s="21">
        <v>243</v>
      </c>
      <c r="D223" s="21">
        <v>222</v>
      </c>
      <c r="E223" s="21" t="str">
        <f t="shared" si="3"/>
        <v>=INDEX(Liste;$E$2;224)</v>
      </c>
      <c r="F223" s="154" t="s">
        <v>261</v>
      </c>
      <c r="G223" s="21"/>
      <c r="H223" s="21"/>
    </row>
    <row r="224" spans="1:8" ht="15.75" x14ac:dyDescent="0.25">
      <c r="A224" t="s">
        <v>262</v>
      </c>
      <c r="B224" t="s">
        <v>617</v>
      </c>
      <c r="C224" s="21">
        <v>244</v>
      </c>
      <c r="D224" s="21">
        <v>223</v>
      </c>
      <c r="E224" s="21" t="str">
        <f t="shared" si="3"/>
        <v>=INDEX(Liste;$E$2;225)</v>
      </c>
      <c r="F224" s="154" t="s">
        <v>3093</v>
      </c>
      <c r="G224" s="21"/>
      <c r="H224" s="21"/>
    </row>
    <row r="225" spans="1:8" ht="15.75" x14ac:dyDescent="0.25">
      <c r="A225" t="s">
        <v>263</v>
      </c>
      <c r="B225" t="s">
        <v>618</v>
      </c>
      <c r="C225" s="21">
        <v>245</v>
      </c>
      <c r="D225" s="21">
        <v>224</v>
      </c>
      <c r="E225" s="21" t="str">
        <f t="shared" si="3"/>
        <v>=INDEX(Liste;$E$2;226)</v>
      </c>
      <c r="F225" s="154" t="s">
        <v>3094</v>
      </c>
      <c r="G225" s="21"/>
      <c r="H225" s="21"/>
    </row>
    <row r="226" spans="1:8" ht="15.75" x14ac:dyDescent="0.25">
      <c r="A226" t="s">
        <v>264</v>
      </c>
      <c r="B226" t="s">
        <v>619</v>
      </c>
      <c r="C226" s="21">
        <v>246</v>
      </c>
      <c r="D226" s="21">
        <v>225</v>
      </c>
      <c r="E226" s="21" t="str">
        <f t="shared" si="3"/>
        <v>=INDEX(Liste;$E$2;227)</v>
      </c>
      <c r="F226" s="154" t="s">
        <v>3095</v>
      </c>
      <c r="G226" s="21"/>
      <c r="H226" s="21"/>
    </row>
    <row r="227" spans="1:8" ht="15.75" x14ac:dyDescent="0.25">
      <c r="A227" t="s">
        <v>265</v>
      </c>
      <c r="B227" t="s">
        <v>620</v>
      </c>
      <c r="C227" s="21">
        <v>247</v>
      </c>
      <c r="D227" s="21">
        <v>226</v>
      </c>
      <c r="E227" s="21" t="str">
        <f t="shared" si="3"/>
        <v>=INDEX(Liste;$E$2;228)</v>
      </c>
      <c r="F227" s="154" t="s">
        <v>3096</v>
      </c>
      <c r="G227" s="21"/>
      <c r="H227" s="21"/>
    </row>
    <row r="228" spans="1:8" ht="15.75" x14ac:dyDescent="0.25">
      <c r="A228" t="s">
        <v>266</v>
      </c>
      <c r="B228" t="s">
        <v>621</v>
      </c>
      <c r="C228" s="21">
        <v>248</v>
      </c>
      <c r="D228" s="21">
        <v>227</v>
      </c>
      <c r="E228" s="21" t="str">
        <f t="shared" si="3"/>
        <v>=INDEX(Liste;$E$2;229)</v>
      </c>
      <c r="F228" s="154" t="s">
        <v>3097</v>
      </c>
      <c r="G228" s="21"/>
      <c r="H228" s="21"/>
    </row>
    <row r="229" spans="1:8" ht="15.75" x14ac:dyDescent="0.25">
      <c r="A229" t="s">
        <v>267</v>
      </c>
      <c r="B229" t="s">
        <v>622</v>
      </c>
      <c r="C229" s="21">
        <v>249</v>
      </c>
      <c r="D229" s="21">
        <v>228</v>
      </c>
      <c r="E229" s="21" t="str">
        <f t="shared" si="3"/>
        <v>=INDEX(Liste;$E$2;230)</v>
      </c>
      <c r="F229" s="154" t="s">
        <v>3098</v>
      </c>
      <c r="G229" s="21"/>
      <c r="H229" s="21"/>
    </row>
    <row r="230" spans="1:8" ht="15.75" x14ac:dyDescent="0.25">
      <c r="A230" t="s">
        <v>268</v>
      </c>
      <c r="B230" t="s">
        <v>623</v>
      </c>
      <c r="C230" s="21">
        <v>250</v>
      </c>
      <c r="D230" s="21">
        <v>229</v>
      </c>
      <c r="E230" s="21" t="str">
        <f t="shared" si="3"/>
        <v>=INDEX(Liste;$E$2;231)</v>
      </c>
      <c r="F230" s="154" t="s">
        <v>3099</v>
      </c>
      <c r="G230" s="21"/>
      <c r="H230" s="21"/>
    </row>
    <row r="231" spans="1:8" ht="15.75" x14ac:dyDescent="0.25">
      <c r="A231" t="s">
        <v>269</v>
      </c>
      <c r="B231" t="s">
        <v>624</v>
      </c>
      <c r="C231" s="21">
        <v>251</v>
      </c>
      <c r="D231" s="21">
        <v>230</v>
      </c>
      <c r="E231" s="21" t="str">
        <f t="shared" si="3"/>
        <v>=INDEX(Liste;$E$2;232)</v>
      </c>
      <c r="F231" s="154" t="s">
        <v>3100</v>
      </c>
      <c r="G231" s="21"/>
      <c r="H231" s="21"/>
    </row>
    <row r="232" spans="1:8" ht="15.75" x14ac:dyDescent="0.25">
      <c r="A232" t="s">
        <v>270</v>
      </c>
      <c r="B232" t="s">
        <v>625</v>
      </c>
      <c r="C232" s="21">
        <v>252</v>
      </c>
      <c r="D232" s="21">
        <v>231</v>
      </c>
      <c r="E232" s="21" t="str">
        <f t="shared" si="3"/>
        <v>=INDEX(Liste;$E$2;233)</v>
      </c>
      <c r="F232" s="154" t="s">
        <v>3101</v>
      </c>
      <c r="G232" s="21"/>
      <c r="H232" s="21"/>
    </row>
    <row r="233" spans="1:8" ht="15.75" x14ac:dyDescent="0.25">
      <c r="A233" t="s">
        <v>271</v>
      </c>
      <c r="B233" t="s">
        <v>626</v>
      </c>
      <c r="C233" s="21">
        <v>253</v>
      </c>
      <c r="D233" s="21">
        <v>232</v>
      </c>
      <c r="E233" s="21" t="str">
        <f t="shared" si="3"/>
        <v>=INDEX(Liste;$E$2;234)</v>
      </c>
      <c r="F233" s="154" t="s">
        <v>3102</v>
      </c>
      <c r="G233" s="21"/>
      <c r="H233" s="21"/>
    </row>
    <row r="234" spans="1:8" ht="15.75" x14ac:dyDescent="0.25">
      <c r="A234" t="s">
        <v>272</v>
      </c>
      <c r="B234" t="s">
        <v>627</v>
      </c>
      <c r="C234" s="21">
        <v>254</v>
      </c>
      <c r="D234" s="21">
        <v>233</v>
      </c>
      <c r="E234" s="21" t="str">
        <f t="shared" si="3"/>
        <v>=INDEX(Liste;$E$2;235)</v>
      </c>
      <c r="F234" s="154" t="s">
        <v>3103</v>
      </c>
      <c r="G234" s="21"/>
      <c r="H234" s="21"/>
    </row>
    <row r="235" spans="1:8" ht="15.75" x14ac:dyDescent="0.25">
      <c r="A235" t="s">
        <v>273</v>
      </c>
      <c r="B235" t="s">
        <v>628</v>
      </c>
      <c r="C235" s="21">
        <v>255</v>
      </c>
      <c r="D235" s="21">
        <v>234</v>
      </c>
      <c r="E235" s="21" t="str">
        <f t="shared" si="3"/>
        <v>=INDEX(Liste;$E$2;236)</v>
      </c>
      <c r="F235" s="154" t="s">
        <v>3104</v>
      </c>
      <c r="G235" s="21"/>
      <c r="H235" s="21"/>
    </row>
    <row r="236" spans="1:8" ht="15.75" x14ac:dyDescent="0.25">
      <c r="A236" t="s">
        <v>2690</v>
      </c>
      <c r="B236" t="s">
        <v>629</v>
      </c>
      <c r="C236" s="21">
        <v>256</v>
      </c>
      <c r="D236" s="21">
        <v>235</v>
      </c>
      <c r="E236" s="21" t="str">
        <f t="shared" si="3"/>
        <v>=INDEX(Liste;$E$2;237)</v>
      </c>
      <c r="F236" s="154" t="s">
        <v>3105</v>
      </c>
      <c r="G236" s="21"/>
      <c r="H236" s="21"/>
    </row>
    <row r="237" spans="1:8" ht="15.75" x14ac:dyDescent="0.25">
      <c r="A237" t="s">
        <v>2691</v>
      </c>
      <c r="B237" t="s">
        <v>630</v>
      </c>
      <c r="C237" s="21">
        <v>257</v>
      </c>
      <c r="D237" s="21">
        <v>236</v>
      </c>
      <c r="E237" s="21" t="str">
        <f t="shared" si="3"/>
        <v>=INDEX(Liste;$E$2;238)</v>
      </c>
      <c r="F237" s="154" t="s">
        <v>3106</v>
      </c>
      <c r="G237" s="21"/>
      <c r="H237" s="21"/>
    </row>
    <row r="238" spans="1:8" ht="15.75" x14ac:dyDescent="0.25">
      <c r="A238" t="s">
        <v>2720</v>
      </c>
      <c r="B238" t="s">
        <v>631</v>
      </c>
      <c r="C238" s="21">
        <v>258</v>
      </c>
      <c r="D238" s="21">
        <v>237</v>
      </c>
      <c r="E238" s="21" t="str">
        <f t="shared" si="3"/>
        <v>=INDEX(Liste;$E$2;239)</v>
      </c>
      <c r="F238" s="154" t="s">
        <v>3107</v>
      </c>
      <c r="G238" s="21"/>
      <c r="H238" s="21"/>
    </row>
    <row r="239" spans="1:8" ht="15.75" x14ac:dyDescent="0.25">
      <c r="A239" t="s">
        <v>2721</v>
      </c>
      <c r="B239" t="s">
        <v>632</v>
      </c>
      <c r="C239" s="21">
        <v>259</v>
      </c>
      <c r="D239" s="21">
        <v>238</v>
      </c>
      <c r="E239" s="21" t="str">
        <f t="shared" si="3"/>
        <v>=INDEX(Liste;$E$2;240)</v>
      </c>
      <c r="F239" s="154" t="s">
        <v>3108</v>
      </c>
      <c r="G239" s="21"/>
      <c r="H239" s="21"/>
    </row>
    <row r="240" spans="1:8" ht="15.75" x14ac:dyDescent="0.25">
      <c r="A240" t="s">
        <v>2722</v>
      </c>
      <c r="B240" t="s">
        <v>633</v>
      </c>
      <c r="C240" s="21">
        <v>260</v>
      </c>
      <c r="D240" s="21">
        <v>239</v>
      </c>
      <c r="E240" s="21" t="str">
        <f t="shared" si="3"/>
        <v>=INDEX(Liste;$E$2;241)</v>
      </c>
      <c r="F240" s="154" t="s">
        <v>3109</v>
      </c>
      <c r="G240" s="21"/>
      <c r="H240" s="21"/>
    </row>
    <row r="241" spans="1:8" ht="15.75" x14ac:dyDescent="0.25">
      <c r="A241" t="s">
        <v>2723</v>
      </c>
      <c r="B241" t="s">
        <v>634</v>
      </c>
      <c r="C241" s="21">
        <v>261</v>
      </c>
      <c r="D241" s="21">
        <v>240</v>
      </c>
      <c r="E241" s="21" t="str">
        <f t="shared" si="3"/>
        <v>=INDEX(Liste;$E$2;242)</v>
      </c>
      <c r="F241" s="154" t="s">
        <v>3110</v>
      </c>
      <c r="G241" s="21"/>
      <c r="H241" s="21"/>
    </row>
    <row r="242" spans="1:8" ht="15.75" x14ac:dyDescent="0.25">
      <c r="A242" t="s">
        <v>274</v>
      </c>
      <c r="B242" t="s">
        <v>635</v>
      </c>
      <c r="C242" s="21">
        <v>262</v>
      </c>
      <c r="D242" s="21">
        <v>241</v>
      </c>
      <c r="E242" s="21" t="str">
        <f t="shared" si="3"/>
        <v>=INDEX(Liste;$E$2;243)</v>
      </c>
      <c r="F242" s="154" t="s">
        <v>3111</v>
      </c>
      <c r="G242" s="21"/>
      <c r="H242" s="21"/>
    </row>
    <row r="243" spans="1:8" ht="15.75" x14ac:dyDescent="0.25">
      <c r="A243" t="s">
        <v>275</v>
      </c>
      <c r="B243" t="s">
        <v>636</v>
      </c>
      <c r="C243" s="21">
        <v>263</v>
      </c>
      <c r="D243" s="21">
        <v>242</v>
      </c>
      <c r="E243" s="21" t="str">
        <f t="shared" si="3"/>
        <v>=INDEX(Liste;$E$2;244)</v>
      </c>
      <c r="F243" s="154" t="s">
        <v>3112</v>
      </c>
      <c r="G243" s="21"/>
      <c r="H243" s="21"/>
    </row>
    <row r="244" spans="1:8" ht="15.75" x14ac:dyDescent="0.25">
      <c r="A244" t="s">
        <v>276</v>
      </c>
      <c r="B244" t="s">
        <v>637</v>
      </c>
      <c r="C244" s="21">
        <v>264</v>
      </c>
      <c r="D244" s="21">
        <v>243</v>
      </c>
      <c r="E244" s="21" t="str">
        <f t="shared" si="3"/>
        <v>=INDEX(Liste;$E$2;245)</v>
      </c>
      <c r="F244" s="154" t="s">
        <v>3113</v>
      </c>
      <c r="G244" s="21"/>
      <c r="H244" s="21"/>
    </row>
    <row r="245" spans="1:8" ht="15.75" x14ac:dyDescent="0.25">
      <c r="A245" t="s">
        <v>277</v>
      </c>
      <c r="B245" t="s">
        <v>638</v>
      </c>
      <c r="C245" s="21">
        <v>265</v>
      </c>
      <c r="D245" s="21">
        <v>244</v>
      </c>
      <c r="E245" s="21" t="str">
        <f t="shared" si="3"/>
        <v>=INDEX(Liste;$E$2;246)</v>
      </c>
      <c r="F245" s="154" t="s">
        <v>3114</v>
      </c>
      <c r="G245" s="21"/>
      <c r="H245" s="21"/>
    </row>
    <row r="246" spans="1:8" ht="15.75" x14ac:dyDescent="0.25">
      <c r="A246" t="s">
        <v>278</v>
      </c>
      <c r="B246" t="s">
        <v>639</v>
      </c>
      <c r="C246" s="21">
        <v>266</v>
      </c>
      <c r="D246" s="21">
        <v>245</v>
      </c>
      <c r="E246" s="21" t="str">
        <f t="shared" si="3"/>
        <v>=INDEX(Liste;$E$2;247)</v>
      </c>
      <c r="F246" s="154" t="s">
        <v>3115</v>
      </c>
      <c r="G246" s="21"/>
      <c r="H246" s="21"/>
    </row>
    <row r="247" spans="1:8" ht="15.75" x14ac:dyDescent="0.25">
      <c r="A247" t="s">
        <v>279</v>
      </c>
      <c r="B247" t="s">
        <v>640</v>
      </c>
      <c r="C247" s="21">
        <v>267</v>
      </c>
      <c r="D247" s="21">
        <v>246</v>
      </c>
      <c r="E247" s="21" t="str">
        <f t="shared" si="3"/>
        <v>=INDEX(Liste;$E$2;248)</v>
      </c>
      <c r="F247" s="154" t="s">
        <v>3116</v>
      </c>
      <c r="G247" s="21"/>
      <c r="H247" s="21"/>
    </row>
    <row r="248" spans="1:8" ht="15.75" x14ac:dyDescent="0.25">
      <c r="A248" t="s">
        <v>2724</v>
      </c>
      <c r="B248" t="s">
        <v>641</v>
      </c>
      <c r="C248" s="21">
        <v>268</v>
      </c>
      <c r="D248" s="21">
        <v>247</v>
      </c>
      <c r="E248" s="21" t="str">
        <f t="shared" si="3"/>
        <v>=INDEX(Liste;$E$2;249)</v>
      </c>
      <c r="F248" s="154" t="s">
        <v>3117</v>
      </c>
      <c r="G248" s="21"/>
      <c r="H248" s="21"/>
    </row>
    <row r="249" spans="1:8" ht="15.75" x14ac:dyDescent="0.25">
      <c r="A249" t="s">
        <v>2725</v>
      </c>
      <c r="B249" t="s">
        <v>642</v>
      </c>
      <c r="C249" s="21">
        <v>269</v>
      </c>
      <c r="D249" s="21">
        <v>248</v>
      </c>
      <c r="E249" s="21" t="str">
        <f t="shared" si="3"/>
        <v>=INDEX(Liste;$E$2;250)</v>
      </c>
      <c r="F249" s="154" t="s">
        <v>3118</v>
      </c>
      <c r="G249" s="21"/>
      <c r="H249" s="21"/>
    </row>
    <row r="250" spans="1:8" ht="15.75" x14ac:dyDescent="0.25">
      <c r="A250" t="s">
        <v>280</v>
      </c>
      <c r="B250" t="s">
        <v>643</v>
      </c>
      <c r="C250" s="21">
        <v>270</v>
      </c>
      <c r="D250" s="21">
        <v>249</v>
      </c>
      <c r="E250" s="21" t="str">
        <f t="shared" si="3"/>
        <v>=INDEX(Liste;$E$2;251)</v>
      </c>
      <c r="F250" s="154" t="s">
        <v>280</v>
      </c>
      <c r="G250" s="21"/>
      <c r="H250" s="21"/>
    </row>
    <row r="251" spans="1:8" ht="15.75" x14ac:dyDescent="0.25">
      <c r="A251" t="s">
        <v>281</v>
      </c>
      <c r="B251" t="s">
        <v>644</v>
      </c>
      <c r="C251" s="21">
        <v>271</v>
      </c>
      <c r="D251" s="21">
        <v>250</v>
      </c>
      <c r="E251" s="21" t="str">
        <f t="shared" si="3"/>
        <v>=INDEX(Liste;$E$2;252)</v>
      </c>
      <c r="F251" s="154" t="s">
        <v>281</v>
      </c>
      <c r="G251" s="21"/>
      <c r="H251" s="21"/>
    </row>
    <row r="252" spans="1:8" ht="15.75" x14ac:dyDescent="0.25">
      <c r="A252" t="s">
        <v>2696</v>
      </c>
      <c r="B252" t="s">
        <v>645</v>
      </c>
      <c r="C252" s="21">
        <v>272</v>
      </c>
      <c r="D252" s="21">
        <v>251</v>
      </c>
      <c r="E252" s="21" t="str">
        <f t="shared" si="3"/>
        <v>=INDEX(Liste;$E$2;253)</v>
      </c>
      <c r="F252" s="154" t="s">
        <v>3119</v>
      </c>
      <c r="G252" s="21"/>
      <c r="H252" s="21"/>
    </row>
    <row r="253" spans="1:8" ht="15.75" x14ac:dyDescent="0.25">
      <c r="A253" t="s">
        <v>2697</v>
      </c>
      <c r="B253" t="s">
        <v>646</v>
      </c>
      <c r="C253" s="21">
        <v>273</v>
      </c>
      <c r="D253" s="21">
        <v>252</v>
      </c>
      <c r="E253" s="21" t="str">
        <f t="shared" si="3"/>
        <v>=INDEX(Liste;$E$2;254)</v>
      </c>
      <c r="F253" s="154" t="s">
        <v>3120</v>
      </c>
      <c r="G253" s="21"/>
      <c r="H253" s="21"/>
    </row>
    <row r="254" spans="1:8" ht="15.75" x14ac:dyDescent="0.25">
      <c r="A254" t="s">
        <v>282</v>
      </c>
      <c r="B254" t="s">
        <v>647</v>
      </c>
      <c r="C254" s="21">
        <v>274</v>
      </c>
      <c r="D254" s="21">
        <v>253</v>
      </c>
      <c r="E254" s="21" t="str">
        <f t="shared" si="3"/>
        <v>=INDEX(Liste;$E$2;255)</v>
      </c>
      <c r="F254" s="154" t="s">
        <v>282</v>
      </c>
      <c r="G254" s="21"/>
      <c r="H254" s="21"/>
    </row>
    <row r="255" spans="1:8" ht="15.75" x14ac:dyDescent="0.25">
      <c r="A255" t="s">
        <v>283</v>
      </c>
      <c r="B255" t="s">
        <v>648</v>
      </c>
      <c r="C255" s="21">
        <v>275</v>
      </c>
      <c r="D255" s="21">
        <v>254</v>
      </c>
      <c r="E255" s="21" t="str">
        <f t="shared" si="3"/>
        <v>=INDEX(Liste;$E$2;256)</v>
      </c>
      <c r="F255" s="154" t="s">
        <v>283</v>
      </c>
      <c r="G255" s="21"/>
      <c r="H255" s="21"/>
    </row>
    <row r="256" spans="1:8" ht="15.75" x14ac:dyDescent="0.25">
      <c r="A256" t="s">
        <v>284</v>
      </c>
      <c r="B256" t="s">
        <v>649</v>
      </c>
      <c r="C256" s="21">
        <v>276</v>
      </c>
      <c r="D256" s="21">
        <v>255</v>
      </c>
      <c r="E256" s="21" t="str">
        <f t="shared" si="3"/>
        <v>=INDEX(Liste;$E$2;257)</v>
      </c>
      <c r="F256" s="154" t="s">
        <v>3121</v>
      </c>
      <c r="G256" s="21"/>
      <c r="H256" s="21"/>
    </row>
    <row r="257" spans="1:8" ht="15.75" x14ac:dyDescent="0.25">
      <c r="A257" t="s">
        <v>285</v>
      </c>
      <c r="B257" t="s">
        <v>650</v>
      </c>
      <c r="C257" s="21">
        <v>277</v>
      </c>
      <c r="D257" s="21">
        <v>256</v>
      </c>
      <c r="E257" s="21" t="str">
        <f t="shared" si="3"/>
        <v>=INDEX(Liste;$E$2;258)</v>
      </c>
      <c r="F257" s="154" t="s">
        <v>3122</v>
      </c>
      <c r="G257" s="21"/>
      <c r="H257" s="21"/>
    </row>
    <row r="258" spans="1:8" ht="15.75" x14ac:dyDescent="0.25">
      <c r="A258" t="s">
        <v>286</v>
      </c>
      <c r="B258" t="s">
        <v>651</v>
      </c>
      <c r="C258" s="21">
        <v>278</v>
      </c>
      <c r="D258" s="21">
        <v>257</v>
      </c>
      <c r="E258" s="21" t="str">
        <f t="shared" si="3"/>
        <v>=INDEX(Liste;$E$2;259)</v>
      </c>
      <c r="F258" s="154" t="s">
        <v>286</v>
      </c>
      <c r="G258" s="21"/>
      <c r="H258" s="21"/>
    </row>
    <row r="259" spans="1:8" ht="15.75" x14ac:dyDescent="0.25">
      <c r="A259" t="s">
        <v>287</v>
      </c>
      <c r="B259" t="s">
        <v>652</v>
      </c>
      <c r="C259" s="21">
        <v>279</v>
      </c>
      <c r="D259" s="21">
        <v>258</v>
      </c>
      <c r="E259" s="21" t="str">
        <f t="shared" ref="E259:E322" si="4">"=INDEX(Liste;$E$2;"&amp;D259+2&amp;")"</f>
        <v>=INDEX(Liste;$E$2;260)</v>
      </c>
      <c r="F259" s="154" t="s">
        <v>287</v>
      </c>
      <c r="G259" s="21"/>
      <c r="H259" s="21"/>
    </row>
    <row r="260" spans="1:8" ht="15.75" x14ac:dyDescent="0.25">
      <c r="A260" t="s">
        <v>288</v>
      </c>
      <c r="B260" t="s">
        <v>653</v>
      </c>
      <c r="C260" s="21">
        <v>280</v>
      </c>
      <c r="D260" s="21">
        <v>259</v>
      </c>
      <c r="E260" s="21" t="str">
        <f t="shared" si="4"/>
        <v>=INDEX(Liste;$E$2;261)</v>
      </c>
      <c r="F260" s="154" t="s">
        <v>288</v>
      </c>
      <c r="G260" s="21"/>
      <c r="H260" s="21"/>
    </row>
    <row r="261" spans="1:8" ht="15.75" x14ac:dyDescent="0.25">
      <c r="A261" t="s">
        <v>289</v>
      </c>
      <c r="B261" t="s">
        <v>654</v>
      </c>
      <c r="C261" s="21">
        <v>281</v>
      </c>
      <c r="D261" s="21">
        <v>260</v>
      </c>
      <c r="E261" s="21" t="str">
        <f t="shared" si="4"/>
        <v>=INDEX(Liste;$E$2;262)</v>
      </c>
      <c r="F261" s="154" t="s">
        <v>289</v>
      </c>
      <c r="G261" s="21"/>
      <c r="H261" s="21"/>
    </row>
    <row r="262" spans="1:8" ht="15.75" x14ac:dyDescent="0.25">
      <c r="A262" t="s">
        <v>290</v>
      </c>
      <c r="B262" t="s">
        <v>655</v>
      </c>
      <c r="C262" s="21">
        <v>282</v>
      </c>
      <c r="D262" s="21">
        <v>261</v>
      </c>
      <c r="E262" s="21" t="str">
        <f t="shared" si="4"/>
        <v>=INDEX(Liste;$E$2;263)</v>
      </c>
      <c r="F262" s="154" t="s">
        <v>290</v>
      </c>
      <c r="G262" s="21"/>
      <c r="H262" s="21"/>
    </row>
    <row r="263" spans="1:8" ht="15.75" x14ac:dyDescent="0.25">
      <c r="A263" t="s">
        <v>291</v>
      </c>
      <c r="B263" t="s">
        <v>656</v>
      </c>
      <c r="C263" s="21">
        <v>283</v>
      </c>
      <c r="D263" s="21">
        <v>262</v>
      </c>
      <c r="E263" s="21" t="str">
        <f t="shared" si="4"/>
        <v>=INDEX(Liste;$E$2;264)</v>
      </c>
      <c r="F263" s="154" t="s">
        <v>291</v>
      </c>
      <c r="G263" s="21"/>
      <c r="H263" s="21"/>
    </row>
    <row r="264" spans="1:8" ht="15.75" x14ac:dyDescent="0.25">
      <c r="A264" t="s">
        <v>292</v>
      </c>
      <c r="B264" t="s">
        <v>657</v>
      </c>
      <c r="C264" s="21">
        <v>284</v>
      </c>
      <c r="D264" s="21">
        <v>263</v>
      </c>
      <c r="E264" s="21" t="str">
        <f t="shared" si="4"/>
        <v>=INDEX(Liste;$E$2;265)</v>
      </c>
      <c r="F264" s="154" t="s">
        <v>292</v>
      </c>
      <c r="G264" s="21"/>
      <c r="H264" s="21"/>
    </row>
    <row r="265" spans="1:8" ht="15.75" x14ac:dyDescent="0.25">
      <c r="A265" t="s">
        <v>293</v>
      </c>
      <c r="B265" t="s">
        <v>658</v>
      </c>
      <c r="C265" s="21">
        <v>285</v>
      </c>
      <c r="D265" s="21">
        <v>264</v>
      </c>
      <c r="E265" s="21" t="str">
        <f t="shared" si="4"/>
        <v>=INDEX(Liste;$E$2;266)</v>
      </c>
      <c r="F265" s="154" t="s">
        <v>293</v>
      </c>
      <c r="G265" s="21"/>
      <c r="H265" s="21"/>
    </row>
    <row r="266" spans="1:8" ht="15.75" x14ac:dyDescent="0.25">
      <c r="A266" t="s">
        <v>294</v>
      </c>
      <c r="B266" t="s">
        <v>1727</v>
      </c>
      <c r="C266" s="21">
        <v>286</v>
      </c>
      <c r="D266" s="21">
        <v>265</v>
      </c>
      <c r="E266" s="21" t="str">
        <f t="shared" si="4"/>
        <v>=INDEX(Liste;$E$2;267)</v>
      </c>
      <c r="F266" s="154" t="s">
        <v>3123</v>
      </c>
      <c r="G266" s="21"/>
      <c r="H266" s="21"/>
    </row>
    <row r="267" spans="1:8" ht="15.75" x14ac:dyDescent="0.25">
      <c r="A267" t="s">
        <v>295</v>
      </c>
      <c r="B267" t="s">
        <v>1797</v>
      </c>
      <c r="C267" s="21">
        <v>287</v>
      </c>
      <c r="D267" s="21">
        <v>266</v>
      </c>
      <c r="E267" s="21" t="str">
        <f t="shared" si="4"/>
        <v>=INDEX(Liste;$E$2;268)</v>
      </c>
      <c r="F267" s="154" t="s">
        <v>3124</v>
      </c>
      <c r="G267" s="21"/>
      <c r="H267" s="21"/>
    </row>
    <row r="268" spans="1:8" ht="15.75" x14ac:dyDescent="0.25">
      <c r="A268" t="s">
        <v>296</v>
      </c>
      <c r="B268" t="s">
        <v>661</v>
      </c>
      <c r="C268" s="21">
        <v>288</v>
      </c>
      <c r="D268" s="21">
        <v>267</v>
      </c>
      <c r="E268" s="21" t="str">
        <f t="shared" si="4"/>
        <v>=INDEX(Liste;$E$2;269)</v>
      </c>
      <c r="F268" s="154" t="s">
        <v>3125</v>
      </c>
      <c r="G268" s="21"/>
      <c r="H268" s="21"/>
    </row>
    <row r="269" spans="1:8" ht="15.75" x14ac:dyDescent="0.25">
      <c r="A269" t="s">
        <v>297</v>
      </c>
      <c r="B269" t="s">
        <v>662</v>
      </c>
      <c r="C269" s="21">
        <v>289</v>
      </c>
      <c r="D269" s="21">
        <v>268</v>
      </c>
      <c r="E269" s="21" t="str">
        <f t="shared" si="4"/>
        <v>=INDEX(Liste;$E$2;270)</v>
      </c>
      <c r="F269" s="154" t="s">
        <v>3126</v>
      </c>
      <c r="G269" s="21"/>
      <c r="H269" s="21"/>
    </row>
    <row r="270" spans="1:8" ht="15.75" x14ac:dyDescent="0.25">
      <c r="A270" t="s">
        <v>2698</v>
      </c>
      <c r="B270" t="s">
        <v>663</v>
      </c>
      <c r="C270" s="21">
        <v>290</v>
      </c>
      <c r="D270" s="21">
        <v>269</v>
      </c>
      <c r="E270" s="21" t="str">
        <f t="shared" si="4"/>
        <v>=INDEX(Liste;$E$2;271)</v>
      </c>
      <c r="F270" s="154" t="s">
        <v>3127</v>
      </c>
      <c r="G270" s="21"/>
      <c r="H270" s="21"/>
    </row>
    <row r="271" spans="1:8" ht="15.75" x14ac:dyDescent="0.25">
      <c r="A271" t="s">
        <v>2699</v>
      </c>
      <c r="B271" t="s">
        <v>664</v>
      </c>
      <c r="C271" s="21">
        <v>291</v>
      </c>
      <c r="D271" s="21">
        <v>270</v>
      </c>
      <c r="E271" s="21" t="str">
        <f t="shared" si="4"/>
        <v>=INDEX(Liste;$E$2;272)</v>
      </c>
      <c r="F271" s="154" t="s">
        <v>3128</v>
      </c>
      <c r="G271" s="21"/>
      <c r="H271" s="21"/>
    </row>
    <row r="272" spans="1:8" ht="15.75" x14ac:dyDescent="0.25">
      <c r="A272" t="s">
        <v>298</v>
      </c>
      <c r="B272" t="s">
        <v>665</v>
      </c>
      <c r="C272" s="21">
        <v>292</v>
      </c>
      <c r="D272" s="21">
        <v>271</v>
      </c>
      <c r="E272" s="21" t="str">
        <f t="shared" si="4"/>
        <v>=INDEX(Liste;$E$2;273)</v>
      </c>
      <c r="F272" s="154" t="s">
        <v>3129</v>
      </c>
      <c r="G272" s="21"/>
      <c r="H272" s="21"/>
    </row>
    <row r="273" spans="1:8" ht="15.75" x14ac:dyDescent="0.25">
      <c r="A273" t="s">
        <v>299</v>
      </c>
      <c r="B273" t="s">
        <v>666</v>
      </c>
      <c r="C273" s="21">
        <v>293</v>
      </c>
      <c r="D273" s="21">
        <v>272</v>
      </c>
      <c r="E273" s="21" t="str">
        <f t="shared" si="4"/>
        <v>=INDEX(Liste;$E$2;274)</v>
      </c>
      <c r="F273" s="154" t="s">
        <v>3130</v>
      </c>
      <c r="G273" s="21"/>
      <c r="H273" s="21"/>
    </row>
    <row r="274" spans="1:8" ht="15.75" x14ac:dyDescent="0.25">
      <c r="A274" t="s">
        <v>300</v>
      </c>
      <c r="B274" t="s">
        <v>667</v>
      </c>
      <c r="C274" s="21">
        <v>294</v>
      </c>
      <c r="D274" s="21">
        <v>273</v>
      </c>
      <c r="E274" s="21" t="str">
        <f t="shared" si="4"/>
        <v>=INDEX(Liste;$E$2;275)</v>
      </c>
      <c r="F274" s="154" t="s">
        <v>300</v>
      </c>
      <c r="G274" s="21"/>
      <c r="H274" s="21"/>
    </row>
    <row r="275" spans="1:8" ht="15.75" x14ac:dyDescent="0.25">
      <c r="A275" t="s">
        <v>301</v>
      </c>
      <c r="B275" t="s">
        <v>668</v>
      </c>
      <c r="C275" s="21">
        <v>295</v>
      </c>
      <c r="D275" s="21">
        <v>274</v>
      </c>
      <c r="E275" s="21" t="str">
        <f t="shared" si="4"/>
        <v>=INDEX(Liste;$E$2;276)</v>
      </c>
      <c r="F275" s="154" t="s">
        <v>301</v>
      </c>
      <c r="G275" s="21"/>
      <c r="H275" s="21"/>
    </row>
    <row r="276" spans="1:8" ht="15.75" x14ac:dyDescent="0.25">
      <c r="A276" t="s">
        <v>302</v>
      </c>
      <c r="B276" t="s">
        <v>669</v>
      </c>
      <c r="C276" s="21">
        <v>296</v>
      </c>
      <c r="D276" s="21">
        <v>275</v>
      </c>
      <c r="E276" s="21" t="str">
        <f t="shared" si="4"/>
        <v>=INDEX(Liste;$E$2;277)</v>
      </c>
      <c r="F276" s="154" t="s">
        <v>302</v>
      </c>
      <c r="G276" s="21"/>
      <c r="H276" s="21"/>
    </row>
    <row r="277" spans="1:8" ht="15.75" x14ac:dyDescent="0.25">
      <c r="A277" t="s">
        <v>303</v>
      </c>
      <c r="B277" t="s">
        <v>670</v>
      </c>
      <c r="C277" s="21">
        <v>297</v>
      </c>
      <c r="D277" s="21">
        <v>276</v>
      </c>
      <c r="E277" s="21" t="str">
        <f t="shared" si="4"/>
        <v>=INDEX(Liste;$E$2;278)</v>
      </c>
      <c r="F277" s="154" t="s">
        <v>303</v>
      </c>
      <c r="G277" s="21"/>
      <c r="H277" s="21"/>
    </row>
    <row r="278" spans="1:8" ht="15.75" x14ac:dyDescent="0.25">
      <c r="A278" t="s">
        <v>2700</v>
      </c>
      <c r="B278" t="s">
        <v>671</v>
      </c>
      <c r="C278" s="21">
        <v>298</v>
      </c>
      <c r="D278" s="21">
        <v>277</v>
      </c>
      <c r="E278" s="21" t="str">
        <f t="shared" si="4"/>
        <v>=INDEX(Liste;$E$2;279)</v>
      </c>
      <c r="F278" s="154" t="s">
        <v>3131</v>
      </c>
      <c r="G278" s="21"/>
      <c r="H278" s="21"/>
    </row>
    <row r="279" spans="1:8" ht="15.75" x14ac:dyDescent="0.25">
      <c r="A279" t="s">
        <v>2701</v>
      </c>
      <c r="B279" t="s">
        <v>672</v>
      </c>
      <c r="C279" s="21">
        <v>299</v>
      </c>
      <c r="D279" s="21">
        <v>278</v>
      </c>
      <c r="E279" s="21" t="str">
        <f t="shared" si="4"/>
        <v>=INDEX(Liste;$E$2;280)</v>
      </c>
      <c r="F279" s="154" t="s">
        <v>3132</v>
      </c>
      <c r="G279" s="21"/>
      <c r="H279" s="21"/>
    </row>
    <row r="280" spans="1:8" ht="15.75" x14ac:dyDescent="0.25">
      <c r="A280" t="s">
        <v>304</v>
      </c>
      <c r="B280" t="s">
        <v>673</v>
      </c>
      <c r="C280" s="21">
        <v>300</v>
      </c>
      <c r="D280" s="21">
        <v>279</v>
      </c>
      <c r="E280" s="21" t="str">
        <f t="shared" si="4"/>
        <v>=INDEX(Liste;$E$2;281)</v>
      </c>
      <c r="F280" s="154" t="s">
        <v>3133</v>
      </c>
      <c r="G280" s="21"/>
      <c r="H280" s="21"/>
    </row>
    <row r="281" spans="1:8" ht="15.75" x14ac:dyDescent="0.25">
      <c r="A281" t="s">
        <v>305</v>
      </c>
      <c r="B281" t="s">
        <v>674</v>
      </c>
      <c r="C281" s="21">
        <v>301</v>
      </c>
      <c r="D281" s="21">
        <v>280</v>
      </c>
      <c r="E281" s="21" t="str">
        <f t="shared" si="4"/>
        <v>=INDEX(Liste;$E$2;282)</v>
      </c>
      <c r="F281" s="154" t="s">
        <v>3134</v>
      </c>
      <c r="G281" s="21"/>
      <c r="H281" s="21"/>
    </row>
    <row r="282" spans="1:8" ht="15.75" x14ac:dyDescent="0.25">
      <c r="A282" t="s">
        <v>306</v>
      </c>
      <c r="B282" t="s">
        <v>675</v>
      </c>
      <c r="C282" s="21">
        <v>302</v>
      </c>
      <c r="D282" s="21">
        <v>281</v>
      </c>
      <c r="E282" s="21" t="str">
        <f t="shared" si="4"/>
        <v>=INDEX(Liste;$E$2;283)</v>
      </c>
      <c r="F282" s="154" t="s">
        <v>3135</v>
      </c>
      <c r="G282" s="21"/>
      <c r="H282" s="21"/>
    </row>
    <row r="283" spans="1:8" ht="15.75" x14ac:dyDescent="0.25">
      <c r="A283" t="s">
        <v>307</v>
      </c>
      <c r="B283" t="s">
        <v>676</v>
      </c>
      <c r="C283" s="21">
        <v>303</v>
      </c>
      <c r="D283" s="21">
        <v>282</v>
      </c>
      <c r="E283" s="21" t="str">
        <f t="shared" si="4"/>
        <v>=INDEX(Liste;$E$2;284)</v>
      </c>
      <c r="F283" s="154" t="s">
        <v>3136</v>
      </c>
      <c r="G283" s="21"/>
      <c r="H283" s="21"/>
    </row>
    <row r="284" spans="1:8" ht="15.75" x14ac:dyDescent="0.25">
      <c r="A284" t="s">
        <v>308</v>
      </c>
      <c r="B284" t="s">
        <v>677</v>
      </c>
      <c r="C284" s="21">
        <v>304</v>
      </c>
      <c r="D284" s="21">
        <v>283</v>
      </c>
      <c r="E284" s="21" t="str">
        <f t="shared" si="4"/>
        <v>=INDEX(Liste;$E$2;285)</v>
      </c>
      <c r="F284" s="154" t="s">
        <v>3137</v>
      </c>
      <c r="G284" s="21"/>
      <c r="H284" s="21"/>
    </row>
    <row r="285" spans="1:8" ht="15.75" x14ac:dyDescent="0.25">
      <c r="A285" t="s">
        <v>309</v>
      </c>
      <c r="B285" t="s">
        <v>678</v>
      </c>
      <c r="C285" s="21">
        <v>305</v>
      </c>
      <c r="D285" s="21">
        <v>284</v>
      </c>
      <c r="E285" s="21" t="str">
        <f t="shared" si="4"/>
        <v>=INDEX(Liste;$E$2;286)</v>
      </c>
      <c r="F285" s="154" t="s">
        <v>309</v>
      </c>
      <c r="G285" s="21"/>
      <c r="H285" s="21"/>
    </row>
    <row r="286" spans="1:8" ht="15.75" x14ac:dyDescent="0.25">
      <c r="A286" t="s">
        <v>310</v>
      </c>
      <c r="B286" t="s">
        <v>679</v>
      </c>
      <c r="C286" s="21">
        <v>306</v>
      </c>
      <c r="D286" s="21">
        <v>285</v>
      </c>
      <c r="E286" s="21" t="str">
        <f t="shared" si="4"/>
        <v>=INDEX(Liste;$E$2;287)</v>
      </c>
      <c r="F286" s="154" t="s">
        <v>3138</v>
      </c>
      <c r="G286" s="21"/>
      <c r="H286" s="21"/>
    </row>
    <row r="287" spans="1:8" ht="15.75" x14ac:dyDescent="0.25">
      <c r="A287" t="s">
        <v>311</v>
      </c>
      <c r="B287" t="s">
        <v>680</v>
      </c>
      <c r="C287" s="21">
        <v>307</v>
      </c>
      <c r="D287" s="21">
        <v>286</v>
      </c>
      <c r="E287" s="21" t="str">
        <f t="shared" si="4"/>
        <v>=INDEX(Liste;$E$2;288)</v>
      </c>
      <c r="F287" s="154" t="s">
        <v>3139</v>
      </c>
      <c r="G287" s="21"/>
      <c r="H287" s="21"/>
    </row>
    <row r="288" spans="1:8" ht="15.75" x14ac:dyDescent="0.25">
      <c r="A288" t="s">
        <v>312</v>
      </c>
      <c r="B288" t="s">
        <v>681</v>
      </c>
      <c r="C288" s="21">
        <v>308</v>
      </c>
      <c r="D288" s="21">
        <v>287</v>
      </c>
      <c r="E288" s="21" t="str">
        <f t="shared" si="4"/>
        <v>=INDEX(Liste;$E$2;289)</v>
      </c>
      <c r="F288" s="154" t="s">
        <v>3140</v>
      </c>
      <c r="G288" s="21"/>
      <c r="H288" s="21"/>
    </row>
    <row r="289" spans="1:8" ht="15.75" x14ac:dyDescent="0.25">
      <c r="A289" t="s">
        <v>313</v>
      </c>
      <c r="B289" t="s">
        <v>682</v>
      </c>
      <c r="C289" s="21">
        <v>309</v>
      </c>
      <c r="D289" s="21">
        <v>288</v>
      </c>
      <c r="E289" s="21" t="str">
        <f t="shared" si="4"/>
        <v>=INDEX(Liste;$E$2;290)</v>
      </c>
      <c r="F289" s="154" t="s">
        <v>313</v>
      </c>
      <c r="G289" s="21"/>
      <c r="H289" s="21"/>
    </row>
    <row r="290" spans="1:8" ht="15.75" x14ac:dyDescent="0.25">
      <c r="A290" t="s">
        <v>314</v>
      </c>
      <c r="B290" t="s">
        <v>683</v>
      </c>
      <c r="C290" s="21">
        <v>310</v>
      </c>
      <c r="D290" s="21">
        <v>289</v>
      </c>
      <c r="E290" s="21" t="str">
        <f t="shared" si="4"/>
        <v>=INDEX(Liste;$E$2;291)</v>
      </c>
      <c r="F290" s="154" t="s">
        <v>3141</v>
      </c>
      <c r="G290" s="21"/>
      <c r="H290" s="21"/>
    </row>
    <row r="291" spans="1:8" ht="15.75" x14ac:dyDescent="0.25">
      <c r="A291" t="s">
        <v>315</v>
      </c>
      <c r="B291" t="s">
        <v>684</v>
      </c>
      <c r="C291" s="21">
        <v>311</v>
      </c>
      <c r="D291" s="21">
        <v>290</v>
      </c>
      <c r="E291" s="21" t="str">
        <f t="shared" si="4"/>
        <v>=INDEX(Liste;$E$2;292)</v>
      </c>
      <c r="F291" s="154" t="s">
        <v>3142</v>
      </c>
      <c r="G291" s="21"/>
      <c r="H291" s="21"/>
    </row>
    <row r="292" spans="1:8" ht="15.75" x14ac:dyDescent="0.25">
      <c r="A292" t="s">
        <v>316</v>
      </c>
      <c r="B292" t="s">
        <v>685</v>
      </c>
      <c r="C292" s="21">
        <v>312</v>
      </c>
      <c r="D292" s="21">
        <v>291</v>
      </c>
      <c r="E292" s="21" t="str">
        <f t="shared" si="4"/>
        <v>=INDEX(Liste;$E$2;293)</v>
      </c>
      <c r="F292" s="154" t="s">
        <v>3143</v>
      </c>
      <c r="G292" s="21"/>
      <c r="H292" s="21"/>
    </row>
    <row r="293" spans="1:8" ht="15.75" x14ac:dyDescent="0.25">
      <c r="A293" t="s">
        <v>317</v>
      </c>
      <c r="B293" t="s">
        <v>686</v>
      </c>
      <c r="C293" s="21">
        <v>313</v>
      </c>
      <c r="D293" s="21">
        <v>292</v>
      </c>
      <c r="E293" s="21" t="str">
        <f t="shared" si="4"/>
        <v>=INDEX(Liste;$E$2;294)</v>
      </c>
      <c r="F293" s="154" t="s">
        <v>317</v>
      </c>
      <c r="G293" s="21"/>
      <c r="H293" s="21"/>
    </row>
    <row r="294" spans="1:8" ht="15.75" x14ac:dyDescent="0.25">
      <c r="A294" t="s">
        <v>318</v>
      </c>
      <c r="B294" t="s">
        <v>687</v>
      </c>
      <c r="C294" s="21">
        <v>314</v>
      </c>
      <c r="D294" s="21">
        <v>293</v>
      </c>
      <c r="E294" s="21" t="str">
        <f t="shared" si="4"/>
        <v>=INDEX(Liste;$E$2;295)</v>
      </c>
      <c r="F294" s="154" t="s">
        <v>3144</v>
      </c>
      <c r="G294" s="21"/>
      <c r="H294" s="21"/>
    </row>
    <row r="295" spans="1:8" ht="15.75" x14ac:dyDescent="0.25">
      <c r="A295" t="s">
        <v>319</v>
      </c>
      <c r="B295" t="s">
        <v>688</v>
      </c>
      <c r="C295" s="21">
        <v>315</v>
      </c>
      <c r="D295" s="21">
        <v>294</v>
      </c>
      <c r="E295" s="21" t="str">
        <f t="shared" si="4"/>
        <v>=INDEX(Liste;$E$2;296)</v>
      </c>
      <c r="F295" s="154" t="s">
        <v>3145</v>
      </c>
      <c r="G295" s="21"/>
      <c r="H295" s="21"/>
    </row>
    <row r="296" spans="1:8" ht="15.75" x14ac:dyDescent="0.25">
      <c r="A296" t="s">
        <v>320</v>
      </c>
      <c r="B296" t="s">
        <v>689</v>
      </c>
      <c r="C296" s="21">
        <v>316</v>
      </c>
      <c r="D296" s="21">
        <v>295</v>
      </c>
      <c r="E296" s="21" t="str">
        <f t="shared" si="4"/>
        <v>=INDEX(Liste;$E$2;297)</v>
      </c>
      <c r="F296" s="154" t="s">
        <v>3146</v>
      </c>
      <c r="G296" s="21"/>
      <c r="H296" s="21"/>
    </row>
    <row r="297" spans="1:8" ht="15.75" x14ac:dyDescent="0.25">
      <c r="A297" t="s">
        <v>321</v>
      </c>
      <c r="B297" t="s">
        <v>690</v>
      </c>
      <c r="C297" s="21">
        <v>317</v>
      </c>
      <c r="D297" s="21">
        <v>296</v>
      </c>
      <c r="E297" s="21" t="str">
        <f t="shared" si="4"/>
        <v>=INDEX(Liste;$E$2;298)</v>
      </c>
      <c r="F297" s="154" t="s">
        <v>3147</v>
      </c>
      <c r="G297" s="21"/>
      <c r="H297" s="21"/>
    </row>
    <row r="298" spans="1:8" ht="15.75" x14ac:dyDescent="0.25">
      <c r="A298" t="s">
        <v>322</v>
      </c>
      <c r="B298" t="s">
        <v>691</v>
      </c>
      <c r="C298" s="21">
        <v>318</v>
      </c>
      <c r="D298" s="21">
        <v>297</v>
      </c>
      <c r="E298" s="21" t="str">
        <f t="shared" si="4"/>
        <v>=INDEX(Liste;$E$2;299)</v>
      </c>
      <c r="F298" s="154" t="s">
        <v>3148</v>
      </c>
      <c r="G298" s="21"/>
      <c r="H298" s="21"/>
    </row>
    <row r="299" spans="1:8" ht="15.75" x14ac:dyDescent="0.25">
      <c r="A299" t="s">
        <v>323</v>
      </c>
      <c r="B299" t="s">
        <v>692</v>
      </c>
      <c r="C299" s="21">
        <v>319</v>
      </c>
      <c r="D299" s="21">
        <v>298</v>
      </c>
      <c r="E299" s="21" t="str">
        <f t="shared" si="4"/>
        <v>=INDEX(Liste;$E$2;300)</v>
      </c>
      <c r="F299" s="154" t="s">
        <v>3149</v>
      </c>
      <c r="G299" s="21"/>
      <c r="H299" s="21"/>
    </row>
    <row r="300" spans="1:8" ht="15.75" x14ac:dyDescent="0.25">
      <c r="A300" t="s">
        <v>324</v>
      </c>
      <c r="B300" t="s">
        <v>693</v>
      </c>
      <c r="C300" s="21">
        <v>320</v>
      </c>
      <c r="D300" s="21">
        <v>1</v>
      </c>
      <c r="E300" s="21" t="str">
        <f t="shared" si="4"/>
        <v>=INDEX(Liste;$E$2;3)</v>
      </c>
      <c r="F300" s="154" t="s">
        <v>3150</v>
      </c>
      <c r="G300" s="21"/>
      <c r="H300" s="21"/>
    </row>
    <row r="301" spans="1:8" ht="15.75" x14ac:dyDescent="0.25">
      <c r="A301" t="s">
        <v>325</v>
      </c>
      <c r="B301" t="s">
        <v>694</v>
      </c>
      <c r="C301" s="21">
        <v>321</v>
      </c>
      <c r="D301" s="21">
        <v>300</v>
      </c>
      <c r="E301" s="21" t="str">
        <f t="shared" si="4"/>
        <v>=INDEX(Liste;$E$2;302)</v>
      </c>
      <c r="F301" s="154" t="s">
        <v>3151</v>
      </c>
      <c r="G301" s="21"/>
      <c r="H301" s="21"/>
    </row>
    <row r="302" spans="1:8" ht="15.75" x14ac:dyDescent="0.25">
      <c r="A302" t="s">
        <v>326</v>
      </c>
      <c r="B302" t="s">
        <v>695</v>
      </c>
      <c r="C302" s="21">
        <v>322</v>
      </c>
      <c r="D302" s="21">
        <v>301</v>
      </c>
      <c r="E302" s="21" t="str">
        <f t="shared" si="4"/>
        <v>=INDEX(Liste;$E$2;303)</v>
      </c>
      <c r="F302" s="154" t="s">
        <v>3152</v>
      </c>
      <c r="G302" s="21"/>
      <c r="H302" s="21"/>
    </row>
    <row r="303" spans="1:8" ht="15.75" x14ac:dyDescent="0.25">
      <c r="A303" t="s">
        <v>327</v>
      </c>
      <c r="B303" t="s">
        <v>696</v>
      </c>
      <c r="C303" s="21">
        <v>323</v>
      </c>
      <c r="D303" s="21">
        <v>302</v>
      </c>
      <c r="E303" s="21" t="str">
        <f t="shared" si="4"/>
        <v>=INDEX(Liste;$E$2;304)</v>
      </c>
      <c r="F303" s="154" t="s">
        <v>3153</v>
      </c>
      <c r="G303" s="21"/>
      <c r="H303" s="21"/>
    </row>
    <row r="304" spans="1:8" ht="15.75" x14ac:dyDescent="0.25">
      <c r="A304" t="s">
        <v>328</v>
      </c>
      <c r="B304" t="s">
        <v>697</v>
      </c>
      <c r="C304" s="21">
        <v>324</v>
      </c>
      <c r="D304" s="21">
        <v>303</v>
      </c>
      <c r="E304" s="21" t="str">
        <f t="shared" si="4"/>
        <v>=INDEX(Liste;$E$2;305)</v>
      </c>
      <c r="F304" s="154" t="s">
        <v>3154</v>
      </c>
      <c r="G304" s="21"/>
      <c r="H304" s="21"/>
    </row>
    <row r="305" spans="1:8" ht="15.75" x14ac:dyDescent="0.25">
      <c r="A305" t="s">
        <v>329</v>
      </c>
      <c r="B305" t="s">
        <v>698</v>
      </c>
      <c r="C305" s="21">
        <v>325</v>
      </c>
      <c r="D305" s="21">
        <v>304</v>
      </c>
      <c r="E305" s="21" t="str">
        <f t="shared" si="4"/>
        <v>=INDEX(Liste;$E$2;306)</v>
      </c>
      <c r="F305" s="154" t="s">
        <v>3155</v>
      </c>
      <c r="G305" s="21"/>
      <c r="H305" s="21"/>
    </row>
    <row r="306" spans="1:8" ht="15.75" x14ac:dyDescent="0.25">
      <c r="A306" t="s">
        <v>330</v>
      </c>
      <c r="B306" t="s">
        <v>699</v>
      </c>
      <c r="C306" s="21">
        <v>326</v>
      </c>
      <c r="D306" s="21">
        <v>305</v>
      </c>
      <c r="E306" s="21" t="str">
        <f t="shared" si="4"/>
        <v>=INDEX(Liste;$E$2;307)</v>
      </c>
      <c r="F306" s="154" t="s">
        <v>3156</v>
      </c>
      <c r="G306" s="21"/>
      <c r="H306" s="21"/>
    </row>
    <row r="307" spans="1:8" ht="15.75" x14ac:dyDescent="0.25">
      <c r="A307" t="s">
        <v>331</v>
      </c>
      <c r="B307" t="s">
        <v>700</v>
      </c>
      <c r="C307" s="21">
        <v>327</v>
      </c>
      <c r="D307" s="21">
        <v>306</v>
      </c>
      <c r="E307" s="21" t="str">
        <f t="shared" si="4"/>
        <v>=INDEX(Liste;$E$2;308)</v>
      </c>
      <c r="F307" s="154" t="s">
        <v>3157</v>
      </c>
      <c r="G307" s="21"/>
      <c r="H307" s="21"/>
    </row>
    <row r="308" spans="1:8" ht="15.75" x14ac:dyDescent="0.25">
      <c r="A308" t="s">
        <v>332</v>
      </c>
      <c r="B308" t="s">
        <v>701</v>
      </c>
      <c r="C308" s="21">
        <v>328</v>
      </c>
      <c r="D308" s="21">
        <v>307</v>
      </c>
      <c r="E308" s="21" t="str">
        <f t="shared" si="4"/>
        <v>=INDEX(Liste;$E$2;309)</v>
      </c>
      <c r="F308" s="154" t="s">
        <v>3158</v>
      </c>
      <c r="G308" s="21"/>
      <c r="H308" s="21"/>
    </row>
    <row r="309" spans="1:8" ht="15.75" x14ac:dyDescent="0.25">
      <c r="A309" t="s">
        <v>333</v>
      </c>
      <c r="B309" t="s">
        <v>702</v>
      </c>
      <c r="C309" s="21">
        <v>329</v>
      </c>
      <c r="D309" s="21">
        <v>308</v>
      </c>
      <c r="E309" s="21" t="str">
        <f t="shared" si="4"/>
        <v>=INDEX(Liste;$E$2;310)</v>
      </c>
      <c r="F309" s="154" t="s">
        <v>3159</v>
      </c>
      <c r="G309" s="21"/>
      <c r="H309" s="21"/>
    </row>
    <row r="310" spans="1:8" ht="15.75" x14ac:dyDescent="0.25">
      <c r="A310" t="s">
        <v>2726</v>
      </c>
      <c r="B310" t="s">
        <v>703</v>
      </c>
      <c r="C310" s="21">
        <v>330</v>
      </c>
      <c r="D310" s="21">
        <v>309</v>
      </c>
      <c r="E310" s="21" t="str">
        <f t="shared" si="4"/>
        <v>=INDEX(Liste;$E$2;311)</v>
      </c>
      <c r="F310" s="154" t="s">
        <v>3160</v>
      </c>
      <c r="G310" s="21"/>
      <c r="H310" s="21"/>
    </row>
    <row r="311" spans="1:8" ht="15.75" x14ac:dyDescent="0.25">
      <c r="A311" t="s">
        <v>2727</v>
      </c>
      <c r="B311" t="s">
        <v>704</v>
      </c>
      <c r="C311" s="21">
        <v>331</v>
      </c>
      <c r="D311" s="21">
        <v>310</v>
      </c>
      <c r="E311" s="21" t="str">
        <f t="shared" si="4"/>
        <v>=INDEX(Liste;$E$2;312)</v>
      </c>
      <c r="F311" s="154" t="s">
        <v>3161</v>
      </c>
      <c r="G311" s="21"/>
      <c r="H311" s="21"/>
    </row>
    <row r="312" spans="1:8" ht="15.75" x14ac:dyDescent="0.25">
      <c r="A312" t="s">
        <v>334</v>
      </c>
      <c r="B312" t="s">
        <v>705</v>
      </c>
      <c r="C312" s="21">
        <v>332</v>
      </c>
      <c r="D312" s="21">
        <v>311</v>
      </c>
      <c r="E312" s="21" t="str">
        <f t="shared" si="4"/>
        <v>=INDEX(Liste;$E$2;313)</v>
      </c>
      <c r="F312" s="154" t="s">
        <v>3162</v>
      </c>
      <c r="G312" s="21"/>
      <c r="H312" s="21"/>
    </row>
    <row r="313" spans="1:8" ht="15.75" x14ac:dyDescent="0.25">
      <c r="A313" t="s">
        <v>335</v>
      </c>
      <c r="B313" t="s">
        <v>706</v>
      </c>
      <c r="C313" s="21">
        <v>333</v>
      </c>
      <c r="D313" s="21">
        <v>312</v>
      </c>
      <c r="E313" s="21" t="str">
        <f t="shared" si="4"/>
        <v>=INDEX(Liste;$E$2;314)</v>
      </c>
      <c r="F313" s="154" t="s">
        <v>3163</v>
      </c>
      <c r="G313" s="21"/>
      <c r="H313" s="21"/>
    </row>
    <row r="314" spans="1:8" ht="15.75" x14ac:dyDescent="0.25">
      <c r="A314" t="s">
        <v>336</v>
      </c>
      <c r="B314" t="s">
        <v>707</v>
      </c>
      <c r="C314" s="21">
        <v>334</v>
      </c>
      <c r="D314" s="21">
        <v>313</v>
      </c>
      <c r="E314" s="21" t="str">
        <f t="shared" si="4"/>
        <v>=INDEX(Liste;$E$2;315)</v>
      </c>
      <c r="F314" s="154" t="s">
        <v>3164</v>
      </c>
      <c r="G314" s="21"/>
      <c r="H314" s="21"/>
    </row>
    <row r="315" spans="1:8" ht="15.75" x14ac:dyDescent="0.25">
      <c r="A315" t="s">
        <v>337</v>
      </c>
      <c r="B315" t="s">
        <v>708</v>
      </c>
      <c r="C315" s="21">
        <v>335</v>
      </c>
      <c r="D315" s="21">
        <v>314</v>
      </c>
      <c r="E315" s="21" t="str">
        <f t="shared" si="4"/>
        <v>=INDEX(Liste;$E$2;316)</v>
      </c>
      <c r="F315" s="154" t="s">
        <v>3165</v>
      </c>
      <c r="G315" s="21"/>
      <c r="H315" s="21"/>
    </row>
    <row r="316" spans="1:8" ht="15.75" x14ac:dyDescent="0.25">
      <c r="A316" t="s">
        <v>338</v>
      </c>
      <c r="B316" t="s">
        <v>709</v>
      </c>
      <c r="C316" s="21">
        <v>336</v>
      </c>
      <c r="D316" s="21">
        <v>315</v>
      </c>
      <c r="E316" s="21" t="str">
        <f t="shared" si="4"/>
        <v>=INDEX(Liste;$E$2;317)</v>
      </c>
      <c r="F316" s="154" t="s">
        <v>3166</v>
      </c>
      <c r="G316" s="21"/>
      <c r="H316" s="21"/>
    </row>
    <row r="317" spans="1:8" ht="15.75" x14ac:dyDescent="0.25">
      <c r="A317" t="s">
        <v>339</v>
      </c>
      <c r="B317" t="s">
        <v>710</v>
      </c>
      <c r="C317" s="21">
        <v>337</v>
      </c>
      <c r="D317" s="21">
        <v>316</v>
      </c>
      <c r="E317" s="21" t="str">
        <f t="shared" si="4"/>
        <v>=INDEX(Liste;$E$2;318)</v>
      </c>
      <c r="F317" s="154" t="s">
        <v>3167</v>
      </c>
      <c r="G317" s="21"/>
      <c r="H317" s="21"/>
    </row>
    <row r="318" spans="1:8" ht="15.75" x14ac:dyDescent="0.25">
      <c r="A318" t="s">
        <v>340</v>
      </c>
      <c r="B318" t="s">
        <v>711</v>
      </c>
      <c r="C318" s="21">
        <v>338</v>
      </c>
      <c r="D318" s="21">
        <v>317</v>
      </c>
      <c r="E318" s="21" t="str">
        <f t="shared" si="4"/>
        <v>=INDEX(Liste;$E$2;319)</v>
      </c>
      <c r="F318" s="154" t="s">
        <v>3168</v>
      </c>
      <c r="G318" s="21"/>
      <c r="H318" s="21"/>
    </row>
    <row r="319" spans="1:8" ht="15.75" x14ac:dyDescent="0.25">
      <c r="A319" t="s">
        <v>341</v>
      </c>
      <c r="B319" t="s">
        <v>712</v>
      </c>
      <c r="C319" s="21">
        <v>339</v>
      </c>
      <c r="D319" s="21">
        <v>318</v>
      </c>
      <c r="E319" s="21" t="str">
        <f t="shared" si="4"/>
        <v>=INDEX(Liste;$E$2;320)</v>
      </c>
      <c r="F319" s="154" t="s">
        <v>3169</v>
      </c>
      <c r="G319" s="21"/>
      <c r="H319" s="21"/>
    </row>
    <row r="320" spans="1:8" ht="15.75" x14ac:dyDescent="0.25">
      <c r="A320" t="s">
        <v>342</v>
      </c>
      <c r="B320" t="s">
        <v>713</v>
      </c>
      <c r="C320" s="21">
        <v>340</v>
      </c>
      <c r="D320" s="21">
        <v>319</v>
      </c>
      <c r="E320" s="21" t="str">
        <f t="shared" si="4"/>
        <v>=INDEX(Liste;$E$2;321)</v>
      </c>
      <c r="F320" s="154" t="s">
        <v>3170</v>
      </c>
      <c r="G320" s="21"/>
      <c r="H320" s="21"/>
    </row>
    <row r="321" spans="1:8" ht="15.75" x14ac:dyDescent="0.25">
      <c r="A321" t="s">
        <v>343</v>
      </c>
      <c r="B321" t="s">
        <v>714</v>
      </c>
      <c r="C321" s="21">
        <v>341</v>
      </c>
      <c r="D321" s="21">
        <v>320</v>
      </c>
      <c r="E321" s="21" t="str">
        <f t="shared" si="4"/>
        <v>=INDEX(Liste;$E$2;322)</v>
      </c>
      <c r="F321" s="154" t="s">
        <v>3171</v>
      </c>
      <c r="G321" s="21"/>
      <c r="H321" s="21"/>
    </row>
    <row r="322" spans="1:8" ht="15.75" x14ac:dyDescent="0.25">
      <c r="A322" t="s">
        <v>344</v>
      </c>
      <c r="B322" t="s">
        <v>715</v>
      </c>
      <c r="C322" s="21">
        <v>342</v>
      </c>
      <c r="D322" s="21">
        <v>321</v>
      </c>
      <c r="E322" s="21" t="str">
        <f t="shared" si="4"/>
        <v>=INDEX(Liste;$E$2;323)</v>
      </c>
      <c r="F322" s="154" t="s">
        <v>3172</v>
      </c>
      <c r="G322" s="21"/>
      <c r="H322" s="21"/>
    </row>
    <row r="323" spans="1:8" ht="15.75" x14ac:dyDescent="0.25">
      <c r="A323" t="s">
        <v>345</v>
      </c>
      <c r="B323" t="s">
        <v>716</v>
      </c>
      <c r="C323" s="21">
        <v>343</v>
      </c>
      <c r="D323" s="21">
        <v>322</v>
      </c>
      <c r="E323" s="21" t="str">
        <f t="shared" ref="E323:E386" si="5">"=INDEX(Liste;$E$2;"&amp;D323+2&amp;")"</f>
        <v>=INDEX(Liste;$E$2;324)</v>
      </c>
      <c r="F323" s="154" t="s">
        <v>3173</v>
      </c>
      <c r="G323" s="21"/>
      <c r="H323" s="21"/>
    </row>
    <row r="324" spans="1:8" ht="15.75" x14ac:dyDescent="0.25">
      <c r="A324" t="s">
        <v>346</v>
      </c>
      <c r="B324" t="s">
        <v>717</v>
      </c>
      <c r="C324" s="21">
        <v>344</v>
      </c>
      <c r="D324" s="21">
        <v>323</v>
      </c>
      <c r="E324" s="21" t="str">
        <f t="shared" si="5"/>
        <v>=INDEX(Liste;$E$2;325)</v>
      </c>
      <c r="F324" s="154" t="s">
        <v>3174</v>
      </c>
      <c r="G324" s="21"/>
      <c r="H324" s="21"/>
    </row>
    <row r="325" spans="1:8" ht="15.75" x14ac:dyDescent="0.25">
      <c r="A325" t="s">
        <v>347</v>
      </c>
      <c r="B325" t="s">
        <v>718</v>
      </c>
      <c r="C325" s="21">
        <v>345</v>
      </c>
      <c r="D325" s="21">
        <v>324</v>
      </c>
      <c r="E325" s="21" t="str">
        <f t="shared" si="5"/>
        <v>=INDEX(Liste;$E$2;326)</v>
      </c>
      <c r="F325" s="154" t="s">
        <v>3175</v>
      </c>
      <c r="G325" s="21"/>
      <c r="H325" s="21"/>
    </row>
    <row r="326" spans="1:8" ht="15.75" x14ac:dyDescent="0.25">
      <c r="A326" t="s">
        <v>348</v>
      </c>
      <c r="B326" t="s">
        <v>719</v>
      </c>
      <c r="C326" s="21">
        <v>346</v>
      </c>
      <c r="D326" s="21">
        <v>325</v>
      </c>
      <c r="E326" s="21" t="str">
        <f t="shared" si="5"/>
        <v>=INDEX(Liste;$E$2;327)</v>
      </c>
      <c r="F326" s="154" t="s">
        <v>3176</v>
      </c>
      <c r="G326" s="21"/>
      <c r="H326" s="21"/>
    </row>
    <row r="327" spans="1:8" ht="15.75" x14ac:dyDescent="0.25">
      <c r="A327" t="s">
        <v>349</v>
      </c>
      <c r="B327" t="s">
        <v>720</v>
      </c>
      <c r="C327" s="21">
        <v>347</v>
      </c>
      <c r="D327" s="21">
        <v>326</v>
      </c>
      <c r="E327" s="21" t="str">
        <f t="shared" si="5"/>
        <v>=INDEX(Liste;$E$2;328)</v>
      </c>
      <c r="F327" s="154" t="s">
        <v>3177</v>
      </c>
      <c r="G327" s="21"/>
      <c r="H327" s="21"/>
    </row>
    <row r="328" spans="1:8" ht="15.75" x14ac:dyDescent="0.25">
      <c r="A328" t="s">
        <v>350</v>
      </c>
      <c r="B328" t="s">
        <v>721</v>
      </c>
      <c r="C328" s="21">
        <v>348</v>
      </c>
      <c r="D328" s="21">
        <v>327</v>
      </c>
      <c r="E328" s="21" t="str">
        <f t="shared" si="5"/>
        <v>=INDEX(Liste;$E$2;329)</v>
      </c>
      <c r="F328" s="154" t="s">
        <v>3178</v>
      </c>
      <c r="G328" s="21"/>
      <c r="H328" s="21"/>
    </row>
    <row r="329" spans="1:8" ht="15.75" x14ac:dyDescent="0.25">
      <c r="A329" t="s">
        <v>351</v>
      </c>
      <c r="B329" t="s">
        <v>722</v>
      </c>
      <c r="C329" s="21">
        <v>349</v>
      </c>
      <c r="D329" s="21">
        <v>328</v>
      </c>
      <c r="E329" s="21" t="str">
        <f t="shared" si="5"/>
        <v>=INDEX(Liste;$E$2;330)</v>
      </c>
      <c r="F329" s="154" t="s">
        <v>3179</v>
      </c>
      <c r="G329" s="21"/>
      <c r="H329" s="21"/>
    </row>
    <row r="330" spans="1:8" ht="15.75" x14ac:dyDescent="0.25">
      <c r="A330" t="s">
        <v>352</v>
      </c>
      <c r="B330" t="s">
        <v>723</v>
      </c>
      <c r="C330" s="21">
        <v>350</v>
      </c>
      <c r="D330" s="21">
        <v>329</v>
      </c>
      <c r="E330" s="21" t="str">
        <f t="shared" si="5"/>
        <v>=INDEX(Liste;$E$2;331)</v>
      </c>
      <c r="F330" s="154" t="s">
        <v>3180</v>
      </c>
      <c r="G330" s="21"/>
      <c r="H330" s="21"/>
    </row>
    <row r="331" spans="1:8" ht="15.75" x14ac:dyDescent="0.25">
      <c r="A331" t="s">
        <v>353</v>
      </c>
      <c r="B331" t="s">
        <v>724</v>
      </c>
      <c r="C331" s="21">
        <v>351</v>
      </c>
      <c r="D331" s="21">
        <v>330</v>
      </c>
      <c r="E331" s="21" t="str">
        <f t="shared" si="5"/>
        <v>=INDEX(Liste;$E$2;332)</v>
      </c>
      <c r="F331" s="154" t="s">
        <v>3181</v>
      </c>
      <c r="G331" s="21"/>
      <c r="H331" s="21"/>
    </row>
    <row r="332" spans="1:8" ht="15.75" x14ac:dyDescent="0.25">
      <c r="A332" t="s">
        <v>354</v>
      </c>
      <c r="B332" t="s">
        <v>725</v>
      </c>
      <c r="C332" s="21">
        <v>352</v>
      </c>
      <c r="D332" s="21">
        <v>331</v>
      </c>
      <c r="E332" s="21" t="str">
        <f t="shared" si="5"/>
        <v>=INDEX(Liste;$E$2;333)</v>
      </c>
      <c r="F332" s="154" t="s">
        <v>3182</v>
      </c>
      <c r="G332" s="21"/>
      <c r="H332" s="21"/>
    </row>
    <row r="333" spans="1:8" ht="15.75" x14ac:dyDescent="0.25">
      <c r="A333" t="s">
        <v>355</v>
      </c>
      <c r="B333" t="s">
        <v>726</v>
      </c>
      <c r="C333" s="21">
        <v>353</v>
      </c>
      <c r="D333" s="21">
        <v>332</v>
      </c>
      <c r="E333" s="21" t="str">
        <f t="shared" si="5"/>
        <v>=INDEX(Liste;$E$2;334)</v>
      </c>
      <c r="F333" s="154" t="s">
        <v>3183</v>
      </c>
      <c r="G333" s="21"/>
      <c r="H333" s="21"/>
    </row>
    <row r="334" spans="1:8" ht="15.75" x14ac:dyDescent="0.25">
      <c r="A334" t="s">
        <v>356</v>
      </c>
      <c r="B334" t="s">
        <v>727</v>
      </c>
      <c r="C334" s="21">
        <v>354</v>
      </c>
      <c r="D334" s="21">
        <v>333</v>
      </c>
      <c r="E334" s="21" t="str">
        <f t="shared" si="5"/>
        <v>=INDEX(Liste;$E$2;335)</v>
      </c>
      <c r="F334" s="154" t="s">
        <v>3184</v>
      </c>
      <c r="G334" s="21"/>
      <c r="H334" s="21"/>
    </row>
    <row r="335" spans="1:8" ht="15.75" x14ac:dyDescent="0.25">
      <c r="A335" t="s">
        <v>357</v>
      </c>
      <c r="B335" t="s">
        <v>728</v>
      </c>
      <c r="C335" s="21">
        <v>355</v>
      </c>
      <c r="D335" s="21">
        <v>334</v>
      </c>
      <c r="E335" s="21" t="str">
        <f t="shared" si="5"/>
        <v>=INDEX(Liste;$E$2;336)</v>
      </c>
      <c r="F335" s="154" t="s">
        <v>3185</v>
      </c>
      <c r="G335" s="21"/>
      <c r="H335" s="21"/>
    </row>
    <row r="336" spans="1:8" ht="15.75" x14ac:dyDescent="0.25">
      <c r="A336" t="s">
        <v>358</v>
      </c>
      <c r="B336" t="s">
        <v>1682</v>
      </c>
      <c r="C336" s="21">
        <v>356</v>
      </c>
      <c r="D336" s="21">
        <v>335</v>
      </c>
      <c r="E336" s="21" t="str">
        <f t="shared" si="5"/>
        <v>=INDEX(Liste;$E$2;337)</v>
      </c>
      <c r="F336" s="154" t="s">
        <v>3186</v>
      </c>
      <c r="G336" s="21"/>
      <c r="H336" s="21"/>
    </row>
    <row r="337" spans="1:8" ht="15.75" x14ac:dyDescent="0.25">
      <c r="A337" t="s">
        <v>359</v>
      </c>
      <c r="B337" t="s">
        <v>1796</v>
      </c>
      <c r="C337" s="21">
        <v>357</v>
      </c>
      <c r="D337" s="21">
        <v>336</v>
      </c>
      <c r="E337" s="21" t="str">
        <f t="shared" si="5"/>
        <v>=INDEX(Liste;$E$2;338)</v>
      </c>
      <c r="F337" s="154" t="s">
        <v>3187</v>
      </c>
      <c r="G337" s="21"/>
      <c r="H337" s="21"/>
    </row>
    <row r="338" spans="1:8" ht="15.75" x14ac:dyDescent="0.25">
      <c r="A338" t="s">
        <v>2702</v>
      </c>
      <c r="B338" t="s">
        <v>729</v>
      </c>
      <c r="C338" s="21">
        <v>358</v>
      </c>
      <c r="D338" s="21">
        <v>337</v>
      </c>
      <c r="E338" s="21" t="str">
        <f t="shared" si="5"/>
        <v>=INDEX(Liste;$E$2;339)</v>
      </c>
      <c r="F338" s="154" t="s">
        <v>3188</v>
      </c>
      <c r="G338" s="21"/>
      <c r="H338" s="21"/>
    </row>
    <row r="339" spans="1:8" ht="15.75" x14ac:dyDescent="0.25">
      <c r="A339" t="s">
        <v>2703</v>
      </c>
      <c r="B339" t="s">
        <v>730</v>
      </c>
      <c r="C339" s="21">
        <v>359</v>
      </c>
      <c r="D339" s="21">
        <v>338</v>
      </c>
      <c r="E339" s="21" t="str">
        <f t="shared" si="5"/>
        <v>=INDEX(Liste;$E$2;340)</v>
      </c>
      <c r="F339" s="154" t="s">
        <v>3189</v>
      </c>
      <c r="G339" s="21"/>
      <c r="H339" s="21"/>
    </row>
    <row r="340" spans="1:8" ht="15.75" x14ac:dyDescent="0.25">
      <c r="A340" t="s">
        <v>2704</v>
      </c>
      <c r="B340" t="s">
        <v>731</v>
      </c>
      <c r="C340" s="21">
        <v>360</v>
      </c>
      <c r="D340" s="21">
        <v>339</v>
      </c>
      <c r="E340" s="21" t="str">
        <f t="shared" si="5"/>
        <v>=INDEX(Liste;$E$2;341)</v>
      </c>
      <c r="F340" s="154" t="s">
        <v>3190</v>
      </c>
      <c r="G340" s="21"/>
      <c r="H340" s="21"/>
    </row>
    <row r="341" spans="1:8" ht="15.75" x14ac:dyDescent="0.25">
      <c r="A341" t="s">
        <v>2705</v>
      </c>
      <c r="B341" t="s">
        <v>732</v>
      </c>
      <c r="C341" s="21">
        <v>361</v>
      </c>
      <c r="D341" s="21">
        <v>340</v>
      </c>
      <c r="E341" s="21" t="str">
        <f t="shared" si="5"/>
        <v>=INDEX(Liste;$E$2;342)</v>
      </c>
      <c r="F341" s="154" t="s">
        <v>3191</v>
      </c>
      <c r="G341" s="21"/>
      <c r="H341" s="21"/>
    </row>
    <row r="342" spans="1:8" ht="15.75" x14ac:dyDescent="0.25">
      <c r="A342" t="s">
        <v>360</v>
      </c>
      <c r="B342" t="s">
        <v>733</v>
      </c>
      <c r="C342" s="21">
        <v>362</v>
      </c>
      <c r="D342" s="21">
        <v>341</v>
      </c>
      <c r="E342" s="21" t="str">
        <f t="shared" si="5"/>
        <v>=INDEX(Liste;$E$2;343)</v>
      </c>
      <c r="F342" s="154" t="s">
        <v>3192</v>
      </c>
      <c r="G342" s="21"/>
      <c r="H342" s="21"/>
    </row>
    <row r="343" spans="1:8" ht="15.75" x14ac:dyDescent="0.25">
      <c r="A343" t="s">
        <v>361</v>
      </c>
      <c r="B343" t="s">
        <v>734</v>
      </c>
      <c r="C343" s="21">
        <v>363</v>
      </c>
      <c r="D343" s="21">
        <v>342</v>
      </c>
      <c r="E343" s="21" t="str">
        <f t="shared" si="5"/>
        <v>=INDEX(Liste;$E$2;344)</v>
      </c>
      <c r="F343" s="154" t="s">
        <v>3193</v>
      </c>
      <c r="G343" s="21"/>
      <c r="H343" s="21"/>
    </row>
    <row r="344" spans="1:8" ht="15.75" x14ac:dyDescent="0.25">
      <c r="A344" t="s">
        <v>2728</v>
      </c>
      <c r="B344" t="s">
        <v>1680</v>
      </c>
      <c r="C344" s="21">
        <v>364</v>
      </c>
      <c r="D344" s="21">
        <v>343</v>
      </c>
      <c r="E344" s="21" t="str">
        <f t="shared" si="5"/>
        <v>=INDEX(Liste;$E$2;345)</v>
      </c>
      <c r="F344" s="154" t="s">
        <v>3194</v>
      </c>
      <c r="G344" s="21"/>
      <c r="H344" s="21"/>
    </row>
    <row r="345" spans="1:8" ht="15.75" x14ac:dyDescent="0.25">
      <c r="A345" t="s">
        <v>2729</v>
      </c>
      <c r="B345" t="s">
        <v>1798</v>
      </c>
      <c r="C345" s="21">
        <v>365</v>
      </c>
      <c r="D345" s="21">
        <v>344</v>
      </c>
      <c r="E345" s="21" t="str">
        <f t="shared" si="5"/>
        <v>=INDEX(Liste;$E$2;346)</v>
      </c>
      <c r="F345" s="154" t="s">
        <v>3195</v>
      </c>
      <c r="G345" s="21"/>
      <c r="H345" s="21"/>
    </row>
    <row r="346" spans="1:8" ht="15.75" x14ac:dyDescent="0.25">
      <c r="A346" t="s">
        <v>362</v>
      </c>
      <c r="B346" t="s">
        <v>735</v>
      </c>
      <c r="C346" s="21">
        <v>366</v>
      </c>
      <c r="D346" s="21">
        <v>345</v>
      </c>
      <c r="E346" s="21" t="str">
        <f t="shared" si="5"/>
        <v>=INDEX(Liste;$E$2;347)</v>
      </c>
      <c r="F346" s="154" t="s">
        <v>3196</v>
      </c>
      <c r="G346" s="21"/>
      <c r="H346" s="21"/>
    </row>
    <row r="347" spans="1:8" ht="15.75" x14ac:dyDescent="0.25">
      <c r="A347" t="s">
        <v>363</v>
      </c>
      <c r="B347" t="s">
        <v>736</v>
      </c>
      <c r="C347" s="21">
        <v>367</v>
      </c>
      <c r="D347" s="21">
        <v>346</v>
      </c>
      <c r="E347" s="21" t="str">
        <f t="shared" si="5"/>
        <v>=INDEX(Liste;$E$2;348)</v>
      </c>
      <c r="F347" s="154" t="s">
        <v>3197</v>
      </c>
      <c r="G347" s="21"/>
      <c r="H347" s="21"/>
    </row>
    <row r="348" spans="1:8" ht="15.75" x14ac:dyDescent="0.25">
      <c r="A348" t="s">
        <v>364</v>
      </c>
      <c r="B348" t="s">
        <v>737</v>
      </c>
      <c r="C348" s="21">
        <v>368</v>
      </c>
      <c r="D348" s="21">
        <v>347</v>
      </c>
      <c r="E348" s="21" t="str">
        <f t="shared" si="5"/>
        <v>=INDEX(Liste;$E$2;349)</v>
      </c>
      <c r="F348" s="154" t="s">
        <v>3198</v>
      </c>
      <c r="G348" s="21"/>
      <c r="H348" s="21"/>
    </row>
    <row r="349" spans="1:8" ht="15.75" x14ac:dyDescent="0.25">
      <c r="A349" t="s">
        <v>365</v>
      </c>
      <c r="B349" t="s">
        <v>738</v>
      </c>
      <c r="C349" s="21">
        <v>369</v>
      </c>
      <c r="D349" s="21">
        <v>348</v>
      </c>
      <c r="E349" s="21" t="str">
        <f t="shared" si="5"/>
        <v>=INDEX(Liste;$E$2;350)</v>
      </c>
      <c r="F349" s="154" t="s">
        <v>3199</v>
      </c>
      <c r="G349" s="21"/>
      <c r="H349" s="21"/>
    </row>
    <row r="350" spans="1:8" ht="15.75" x14ac:dyDescent="0.25">
      <c r="A350" t="s">
        <v>366</v>
      </c>
      <c r="B350" t="s">
        <v>739</v>
      </c>
      <c r="C350" s="21">
        <v>370</v>
      </c>
      <c r="D350" s="21">
        <v>349</v>
      </c>
      <c r="E350" s="21" t="str">
        <f t="shared" si="5"/>
        <v>=INDEX(Liste;$E$2;351)</v>
      </c>
      <c r="F350" s="154" t="s">
        <v>3200</v>
      </c>
      <c r="G350" s="21"/>
      <c r="H350" s="21"/>
    </row>
    <row r="351" spans="1:8" ht="15.75" x14ac:dyDescent="0.25">
      <c r="A351" t="s">
        <v>367</v>
      </c>
      <c r="B351" t="s">
        <v>740</v>
      </c>
      <c r="C351" s="21">
        <v>371</v>
      </c>
      <c r="D351" s="21">
        <v>350</v>
      </c>
      <c r="E351" s="21" t="str">
        <f t="shared" si="5"/>
        <v>=INDEX(Liste;$E$2;352)</v>
      </c>
      <c r="F351" s="154" t="s">
        <v>3201</v>
      </c>
      <c r="G351" s="21"/>
      <c r="H351" s="21"/>
    </row>
    <row r="352" spans="1:8" ht="15.75" x14ac:dyDescent="0.25">
      <c r="A352" t="s">
        <v>368</v>
      </c>
      <c r="B352" t="s">
        <v>741</v>
      </c>
      <c r="C352" s="21">
        <v>372</v>
      </c>
      <c r="D352" s="21">
        <v>351</v>
      </c>
      <c r="E352" s="21" t="str">
        <f t="shared" si="5"/>
        <v>=INDEX(Liste;$E$2;353)</v>
      </c>
      <c r="F352" s="154" t="s">
        <v>3202</v>
      </c>
      <c r="G352" s="21"/>
      <c r="H352" s="21"/>
    </row>
    <row r="353" spans="1:8" ht="15.75" x14ac:dyDescent="0.25">
      <c r="A353" t="s">
        <v>369</v>
      </c>
      <c r="B353" t="s">
        <v>742</v>
      </c>
      <c r="C353" s="21">
        <v>373</v>
      </c>
      <c r="D353" s="21">
        <v>352</v>
      </c>
      <c r="E353" s="21" t="str">
        <f t="shared" si="5"/>
        <v>=INDEX(Liste;$E$2;354)</v>
      </c>
      <c r="F353" s="154" t="s">
        <v>3203</v>
      </c>
      <c r="G353" s="21"/>
      <c r="H353" s="21"/>
    </row>
    <row r="354" spans="1:8" ht="15.75" x14ac:dyDescent="0.25">
      <c r="A354" t="s">
        <v>370</v>
      </c>
      <c r="B354" t="s">
        <v>743</v>
      </c>
      <c r="C354" s="21">
        <v>374</v>
      </c>
      <c r="D354" s="21">
        <v>353</v>
      </c>
      <c r="E354" s="21" t="str">
        <f t="shared" si="5"/>
        <v>=INDEX(Liste;$E$2;355)</v>
      </c>
      <c r="F354" s="154" t="s">
        <v>3204</v>
      </c>
      <c r="G354" s="21"/>
      <c r="H354" s="21"/>
    </row>
    <row r="355" spans="1:8" ht="15.75" x14ac:dyDescent="0.25">
      <c r="A355" t="s">
        <v>371</v>
      </c>
      <c r="B355" t="s">
        <v>744</v>
      </c>
      <c r="C355" s="21">
        <v>375</v>
      </c>
      <c r="D355" s="21">
        <v>354</v>
      </c>
      <c r="E355" s="21" t="str">
        <f t="shared" si="5"/>
        <v>=INDEX(Liste;$E$2;356)</v>
      </c>
      <c r="F355" s="154" t="s">
        <v>3205</v>
      </c>
      <c r="G355" s="21"/>
      <c r="H355" s="21"/>
    </row>
    <row r="356" spans="1:8" ht="15.75" x14ac:dyDescent="0.25">
      <c r="A356" t="s">
        <v>372</v>
      </c>
      <c r="B356" t="s">
        <v>745</v>
      </c>
      <c r="C356" s="21">
        <v>376</v>
      </c>
      <c r="D356" s="21">
        <v>355</v>
      </c>
      <c r="E356" s="21" t="str">
        <f t="shared" si="5"/>
        <v>=INDEX(Liste;$E$2;357)</v>
      </c>
      <c r="F356" s="154" t="s">
        <v>3206</v>
      </c>
      <c r="G356" s="21"/>
      <c r="H356" s="21"/>
    </row>
    <row r="357" spans="1:8" ht="15.75" x14ac:dyDescent="0.25">
      <c r="A357" t="s">
        <v>373</v>
      </c>
      <c r="B357" t="s">
        <v>746</v>
      </c>
      <c r="C357" s="21">
        <v>377</v>
      </c>
      <c r="D357" s="21">
        <v>356</v>
      </c>
      <c r="E357" s="21" t="str">
        <f t="shared" si="5"/>
        <v>=INDEX(Liste;$E$2;358)</v>
      </c>
      <c r="F357" s="154" t="s">
        <v>3207</v>
      </c>
      <c r="G357" s="21"/>
      <c r="H357" s="21"/>
    </row>
    <row r="358" spans="1:8" ht="15.75" x14ac:dyDescent="0.25">
      <c r="A358" t="s">
        <v>374</v>
      </c>
      <c r="B358" t="s">
        <v>747</v>
      </c>
      <c r="C358" s="21">
        <v>378</v>
      </c>
      <c r="D358" s="21">
        <v>357</v>
      </c>
      <c r="E358" s="21" t="str">
        <f t="shared" si="5"/>
        <v>=INDEX(Liste;$E$2;359)</v>
      </c>
      <c r="F358" s="154" t="s">
        <v>3208</v>
      </c>
      <c r="G358" s="21"/>
      <c r="H358" s="21"/>
    </row>
    <row r="359" spans="1:8" ht="15.75" x14ac:dyDescent="0.25">
      <c r="A359" t="s">
        <v>375</v>
      </c>
      <c r="B359" t="s">
        <v>748</v>
      </c>
      <c r="C359" s="21">
        <v>379</v>
      </c>
      <c r="D359" s="21">
        <v>358</v>
      </c>
      <c r="E359" s="21" t="str">
        <f t="shared" si="5"/>
        <v>=INDEX(Liste;$E$2;360)</v>
      </c>
      <c r="F359" s="154" t="s">
        <v>3209</v>
      </c>
      <c r="G359" s="21"/>
      <c r="H359" s="21"/>
    </row>
    <row r="360" spans="1:8" ht="15.75" x14ac:dyDescent="0.25">
      <c r="A360" t="s">
        <v>376</v>
      </c>
      <c r="B360" t="s">
        <v>749</v>
      </c>
      <c r="C360" s="21">
        <v>380</v>
      </c>
      <c r="D360" s="21">
        <v>359</v>
      </c>
      <c r="E360" s="21" t="str">
        <f t="shared" si="5"/>
        <v>=INDEX(Liste;$E$2;361)</v>
      </c>
      <c r="F360" s="154" t="s">
        <v>3210</v>
      </c>
      <c r="G360" s="21"/>
      <c r="H360" s="21"/>
    </row>
    <row r="361" spans="1:8" ht="15.75" x14ac:dyDescent="0.25">
      <c r="A361" t="s">
        <v>377</v>
      </c>
      <c r="B361" t="s">
        <v>750</v>
      </c>
      <c r="C361" s="21">
        <v>381</v>
      </c>
      <c r="D361" s="21">
        <v>360</v>
      </c>
      <c r="E361" s="21" t="str">
        <f t="shared" si="5"/>
        <v>=INDEX(Liste;$E$2;362)</v>
      </c>
      <c r="F361" s="154" t="s">
        <v>3211</v>
      </c>
      <c r="G361" s="21"/>
      <c r="H361" s="21"/>
    </row>
    <row r="362" spans="1:8" ht="15.75" x14ac:dyDescent="0.25">
      <c r="A362" t="s">
        <v>378</v>
      </c>
      <c r="B362" t="s">
        <v>751</v>
      </c>
      <c r="C362" s="21">
        <v>382</v>
      </c>
      <c r="D362" s="21">
        <v>361</v>
      </c>
      <c r="E362" s="21" t="str">
        <f t="shared" si="5"/>
        <v>=INDEX(Liste;$E$2;363)</v>
      </c>
      <c r="F362" s="154" t="s">
        <v>3212</v>
      </c>
      <c r="G362" s="21"/>
      <c r="H362" s="21"/>
    </row>
    <row r="363" spans="1:8" ht="15.75" x14ac:dyDescent="0.25">
      <c r="A363" t="s">
        <v>379</v>
      </c>
      <c r="B363" t="s">
        <v>752</v>
      </c>
      <c r="C363" s="21">
        <v>383</v>
      </c>
      <c r="D363" s="21">
        <v>362</v>
      </c>
      <c r="E363" s="21" t="str">
        <f t="shared" si="5"/>
        <v>=INDEX(Liste;$E$2;364)</v>
      </c>
      <c r="F363" s="154" t="s">
        <v>3213</v>
      </c>
      <c r="G363" s="21"/>
      <c r="H363" s="21"/>
    </row>
    <row r="364" spans="1:8" ht="15.75" x14ac:dyDescent="0.25">
      <c r="A364" t="s">
        <v>380</v>
      </c>
      <c r="B364" t="s">
        <v>753</v>
      </c>
      <c r="C364" s="21">
        <v>384</v>
      </c>
      <c r="D364" s="21">
        <v>363</v>
      </c>
      <c r="E364" s="21" t="str">
        <f t="shared" si="5"/>
        <v>=INDEX(Liste;$E$2;365)</v>
      </c>
      <c r="F364" s="154" t="s">
        <v>3214</v>
      </c>
      <c r="G364" s="21"/>
      <c r="H364" s="21"/>
    </row>
    <row r="365" spans="1:8" ht="15.75" x14ac:dyDescent="0.25">
      <c r="A365" t="s">
        <v>381</v>
      </c>
      <c r="B365" t="s">
        <v>754</v>
      </c>
      <c r="C365" s="21">
        <v>385</v>
      </c>
      <c r="D365" s="21">
        <v>364</v>
      </c>
      <c r="E365" s="21" t="str">
        <f t="shared" si="5"/>
        <v>=INDEX(Liste;$E$2;366)</v>
      </c>
      <c r="F365" s="154" t="s">
        <v>3215</v>
      </c>
      <c r="G365" s="21"/>
      <c r="H365" s="21"/>
    </row>
    <row r="366" spans="1:8" ht="15.75" x14ac:dyDescent="0.25">
      <c r="A366" t="s">
        <v>382</v>
      </c>
      <c r="B366" t="s">
        <v>755</v>
      </c>
      <c r="C366" s="21">
        <v>386</v>
      </c>
      <c r="D366" s="21">
        <v>365</v>
      </c>
      <c r="E366" s="21" t="str">
        <f t="shared" si="5"/>
        <v>=INDEX(Liste;$E$2;367)</v>
      </c>
      <c r="F366" s="154" t="s">
        <v>3216</v>
      </c>
      <c r="G366" s="21"/>
      <c r="H366" s="21"/>
    </row>
    <row r="367" spans="1:8" ht="15.75" x14ac:dyDescent="0.25">
      <c r="A367" t="s">
        <v>383</v>
      </c>
      <c r="B367" t="s">
        <v>756</v>
      </c>
      <c r="C367" s="21">
        <v>387</v>
      </c>
      <c r="D367" s="21">
        <v>366</v>
      </c>
      <c r="E367" s="21" t="str">
        <f t="shared" si="5"/>
        <v>=INDEX(Liste;$E$2;368)</v>
      </c>
      <c r="F367" s="154" t="s">
        <v>3217</v>
      </c>
      <c r="G367" s="21"/>
      <c r="H367" s="21"/>
    </row>
    <row r="368" spans="1:8" ht="15.75" x14ac:dyDescent="0.25">
      <c r="A368" t="s">
        <v>384</v>
      </c>
      <c r="B368" t="s">
        <v>659</v>
      </c>
      <c r="C368" s="21">
        <v>388</v>
      </c>
      <c r="D368" s="21">
        <v>367</v>
      </c>
      <c r="E368" s="21" t="str">
        <f t="shared" si="5"/>
        <v>=INDEX(Liste;$E$2;369)</v>
      </c>
      <c r="F368" s="154" t="s">
        <v>3218</v>
      </c>
      <c r="G368" s="21"/>
      <c r="H368" s="21"/>
    </row>
    <row r="369" spans="1:8" ht="15.75" x14ac:dyDescent="0.25">
      <c r="A369" t="s">
        <v>385</v>
      </c>
      <c r="B369" t="s">
        <v>660</v>
      </c>
      <c r="C369" s="21">
        <v>389</v>
      </c>
      <c r="D369" s="21">
        <v>368</v>
      </c>
      <c r="E369" s="21" t="str">
        <f t="shared" si="5"/>
        <v>=INDEX(Liste;$E$2;370)</v>
      </c>
      <c r="F369" s="154" t="s">
        <v>3219</v>
      </c>
      <c r="G369" s="21"/>
      <c r="H369" s="21"/>
    </row>
    <row r="370" spans="1:8" ht="15.75" x14ac:dyDescent="0.25">
      <c r="A370" t="s">
        <v>386</v>
      </c>
      <c r="B370" t="s">
        <v>539</v>
      </c>
      <c r="C370" s="21">
        <v>390</v>
      </c>
      <c r="D370" s="21">
        <v>369</v>
      </c>
      <c r="E370" s="21" t="str">
        <f t="shared" si="5"/>
        <v>=INDEX(Liste;$E$2;371)</v>
      </c>
      <c r="F370" s="154" t="s">
        <v>3220</v>
      </c>
      <c r="G370" s="21"/>
      <c r="H370" s="21"/>
    </row>
    <row r="371" spans="1:8" ht="15.75" x14ac:dyDescent="0.25">
      <c r="A371" t="s">
        <v>387</v>
      </c>
      <c r="B371" t="s">
        <v>540</v>
      </c>
      <c r="C371" s="21">
        <v>391</v>
      </c>
      <c r="D371" s="21">
        <v>370</v>
      </c>
      <c r="E371" s="21" t="str">
        <f t="shared" si="5"/>
        <v>=INDEX(Liste;$E$2;372)</v>
      </c>
      <c r="F371" s="154" t="s">
        <v>3221</v>
      </c>
      <c r="G371" s="21"/>
      <c r="H371" s="21"/>
    </row>
    <row r="372" spans="1:8" ht="15.75" x14ac:dyDescent="0.25">
      <c r="A372" t="s">
        <v>388</v>
      </c>
      <c r="B372" t="s">
        <v>757</v>
      </c>
      <c r="C372" s="21">
        <v>392</v>
      </c>
      <c r="D372" s="21">
        <v>371</v>
      </c>
      <c r="E372" s="21" t="str">
        <f t="shared" si="5"/>
        <v>=INDEX(Liste;$E$2;373)</v>
      </c>
      <c r="F372" s="154" t="s">
        <v>3222</v>
      </c>
      <c r="G372" s="21"/>
      <c r="H372" s="21"/>
    </row>
    <row r="373" spans="1:8" ht="15.75" x14ac:dyDescent="0.25">
      <c r="A373" t="s">
        <v>389</v>
      </c>
      <c r="B373" t="s">
        <v>758</v>
      </c>
      <c r="C373" s="21">
        <v>393</v>
      </c>
      <c r="D373" s="21">
        <v>372</v>
      </c>
      <c r="E373" s="21" t="str">
        <f t="shared" si="5"/>
        <v>=INDEX(Liste;$E$2;374)</v>
      </c>
      <c r="F373" s="154" t="s">
        <v>3223</v>
      </c>
      <c r="G373" s="21"/>
      <c r="H373" s="21"/>
    </row>
    <row r="374" spans="1:8" ht="15.75" x14ac:dyDescent="0.25">
      <c r="A374" t="s">
        <v>390</v>
      </c>
      <c r="B374" t="s">
        <v>759</v>
      </c>
      <c r="C374" s="21">
        <v>394</v>
      </c>
      <c r="D374" s="21">
        <v>373</v>
      </c>
      <c r="E374" s="21" t="str">
        <f t="shared" si="5"/>
        <v>=INDEX(Liste;$E$2;375)</v>
      </c>
      <c r="F374" s="154" t="s">
        <v>3224</v>
      </c>
      <c r="G374" s="21"/>
      <c r="H374" s="21"/>
    </row>
    <row r="375" spans="1:8" ht="15.75" x14ac:dyDescent="0.25">
      <c r="A375" t="s">
        <v>391</v>
      </c>
      <c r="B375" t="s">
        <v>760</v>
      </c>
      <c r="C375" s="21">
        <v>395</v>
      </c>
      <c r="D375" s="21">
        <v>374</v>
      </c>
      <c r="E375" s="21" t="str">
        <f t="shared" si="5"/>
        <v>=INDEX(Liste;$E$2;376)</v>
      </c>
      <c r="F375" s="154" t="s">
        <v>3225</v>
      </c>
      <c r="G375" s="21"/>
      <c r="H375" s="21"/>
    </row>
    <row r="376" spans="1:8" ht="15.75" x14ac:dyDescent="0.25">
      <c r="A376" t="s">
        <v>392</v>
      </c>
      <c r="B376" t="s">
        <v>761</v>
      </c>
      <c r="C376" s="21">
        <v>396</v>
      </c>
      <c r="D376" s="21">
        <v>375</v>
      </c>
      <c r="E376" s="21" t="str">
        <f t="shared" si="5"/>
        <v>=INDEX(Liste;$E$2;377)</v>
      </c>
      <c r="F376" s="154" t="s">
        <v>3226</v>
      </c>
      <c r="G376" s="21"/>
      <c r="H376" s="21"/>
    </row>
    <row r="377" spans="1:8" ht="15.75" x14ac:dyDescent="0.25">
      <c r="A377" t="s">
        <v>393</v>
      </c>
      <c r="B377" t="s">
        <v>762</v>
      </c>
      <c r="C377" s="21">
        <v>397</v>
      </c>
      <c r="D377" s="21">
        <v>376</v>
      </c>
      <c r="E377" s="21" t="str">
        <f t="shared" si="5"/>
        <v>=INDEX(Liste;$E$2;378)</v>
      </c>
      <c r="F377" s="154" t="s">
        <v>3227</v>
      </c>
      <c r="G377" s="21"/>
      <c r="H377" s="21"/>
    </row>
    <row r="378" spans="1:8" ht="15.75" x14ac:dyDescent="0.25">
      <c r="A378" t="s">
        <v>394</v>
      </c>
      <c r="B378" t="s">
        <v>763</v>
      </c>
      <c r="C378" s="21">
        <v>398</v>
      </c>
      <c r="D378" s="21">
        <v>377</v>
      </c>
      <c r="E378" s="21" t="str">
        <f t="shared" si="5"/>
        <v>=INDEX(Liste;$E$2;379)</v>
      </c>
      <c r="F378" s="154" t="s">
        <v>3228</v>
      </c>
      <c r="G378" s="21"/>
      <c r="H378" s="21"/>
    </row>
    <row r="379" spans="1:8" ht="15.75" x14ac:dyDescent="0.25">
      <c r="A379" t="s">
        <v>395</v>
      </c>
      <c r="B379" t="s">
        <v>764</v>
      </c>
      <c r="C379">
        <v>399</v>
      </c>
      <c r="D379" s="21">
        <v>378</v>
      </c>
      <c r="E379" s="21" t="str">
        <f t="shared" si="5"/>
        <v>=INDEX(Liste;$E$2;380)</v>
      </c>
      <c r="F379" s="154" t="s">
        <v>3229</v>
      </c>
      <c r="G379" s="21"/>
      <c r="H379" s="21"/>
    </row>
    <row r="380" spans="1:8" ht="15.75" x14ac:dyDescent="0.25">
      <c r="A380" s="21" t="s">
        <v>2880</v>
      </c>
      <c r="B380" t="s">
        <v>3238</v>
      </c>
      <c r="C380">
        <v>1</v>
      </c>
      <c r="D380" s="21">
        <v>379</v>
      </c>
      <c r="E380" s="21" t="str">
        <f t="shared" si="5"/>
        <v>=INDEX(Liste;$E$2;381)</v>
      </c>
      <c r="F380" s="154" t="s">
        <v>2880</v>
      </c>
    </row>
    <row r="381" spans="1:8" x14ac:dyDescent="0.2">
      <c r="A381" s="21" t="s">
        <v>2881</v>
      </c>
      <c r="B381" t="s">
        <v>396</v>
      </c>
      <c r="C381">
        <v>2</v>
      </c>
      <c r="D381" s="21">
        <v>380</v>
      </c>
      <c r="E381" s="21" t="str">
        <f t="shared" si="5"/>
        <v>=INDEX(Liste;$E$2;382)</v>
      </c>
      <c r="F381" t="s">
        <v>2881</v>
      </c>
    </row>
    <row r="382" spans="1:8" ht="15.75" x14ac:dyDescent="0.25">
      <c r="A382" s="21" t="s">
        <v>67</v>
      </c>
      <c r="B382" s="21" t="s">
        <v>67</v>
      </c>
      <c r="C382" s="21">
        <v>3</v>
      </c>
      <c r="D382" s="21">
        <v>381</v>
      </c>
      <c r="E382" s="21" t="str">
        <f t="shared" si="5"/>
        <v>=INDEX(Liste;$E$2;383)</v>
      </c>
      <c r="F382" s="154" t="s">
        <v>2882</v>
      </c>
    </row>
    <row r="383" spans="1:8" ht="15.75" x14ac:dyDescent="0.25">
      <c r="A383" s="21" t="s">
        <v>68</v>
      </c>
      <c r="B383" s="21" t="s">
        <v>68</v>
      </c>
      <c r="C383" s="21">
        <v>4</v>
      </c>
      <c r="D383" s="21">
        <v>382</v>
      </c>
      <c r="E383" s="21" t="str">
        <f t="shared" si="5"/>
        <v>=INDEX(Liste;$E$2;384)</v>
      </c>
      <c r="F383" s="154" t="s">
        <v>2883</v>
      </c>
    </row>
    <row r="384" spans="1:8" ht="15.75" x14ac:dyDescent="0.25">
      <c r="A384" s="21" t="s">
        <v>69</v>
      </c>
      <c r="B384" s="21" t="s">
        <v>69</v>
      </c>
      <c r="C384" s="21">
        <v>5</v>
      </c>
      <c r="D384" s="21">
        <v>383</v>
      </c>
      <c r="E384" s="21" t="str">
        <f t="shared" si="5"/>
        <v>=INDEX(Liste;$E$2;385)</v>
      </c>
      <c r="F384" s="154" t="s">
        <v>2884</v>
      </c>
    </row>
    <row r="385" spans="1:6" ht="15.75" x14ac:dyDescent="0.25">
      <c r="A385" s="21" t="s">
        <v>70</v>
      </c>
      <c r="B385" s="21" t="s">
        <v>70</v>
      </c>
      <c r="C385" s="21">
        <v>6</v>
      </c>
      <c r="D385" s="21">
        <v>384</v>
      </c>
      <c r="E385" s="21" t="str">
        <f t="shared" si="5"/>
        <v>=INDEX(Liste;$E$2;386)</v>
      </c>
      <c r="F385" s="154" t="s">
        <v>2885</v>
      </c>
    </row>
    <row r="386" spans="1:6" ht="15.75" x14ac:dyDescent="0.25">
      <c r="A386" s="21" t="s">
        <v>3239</v>
      </c>
      <c r="B386" t="s">
        <v>397</v>
      </c>
      <c r="C386" s="21">
        <v>7</v>
      </c>
      <c r="D386" s="21">
        <v>385</v>
      </c>
      <c r="E386" s="21" t="str">
        <f t="shared" si="5"/>
        <v>=INDEX(Liste;$E$2;387)</v>
      </c>
      <c r="F386" s="154" t="s">
        <v>2886</v>
      </c>
    </row>
    <row r="387" spans="1:6" ht="15.75" x14ac:dyDescent="0.25">
      <c r="A387" s="21" t="s">
        <v>72</v>
      </c>
      <c r="B387" t="s">
        <v>398</v>
      </c>
      <c r="C387" s="21">
        <v>8</v>
      </c>
      <c r="D387" s="21">
        <v>386</v>
      </c>
      <c r="E387" s="21" t="str">
        <f t="shared" ref="E387:E400" si="6">"=INDEX(Liste;$E$2;"&amp;D387+2&amp;")"</f>
        <v>=INDEX(Liste;$E$2;388)</v>
      </c>
      <c r="F387" s="154" t="s">
        <v>2887</v>
      </c>
    </row>
    <row r="388" spans="1:6" ht="15.75" x14ac:dyDescent="0.25">
      <c r="A388" s="21" t="s">
        <v>2888</v>
      </c>
      <c r="B388" t="s">
        <v>399</v>
      </c>
      <c r="C388" s="21">
        <v>9</v>
      </c>
      <c r="D388" s="21">
        <v>387</v>
      </c>
      <c r="E388" s="21" t="str">
        <f t="shared" si="6"/>
        <v>=INDEX(Liste;$E$2;389)</v>
      </c>
      <c r="F388" s="154" t="s">
        <v>2888</v>
      </c>
    </row>
    <row r="389" spans="1:6" ht="15.75" x14ac:dyDescent="0.25">
      <c r="A389" s="21" t="s">
        <v>2889</v>
      </c>
      <c r="B389" t="s">
        <v>400</v>
      </c>
      <c r="C389" s="21">
        <v>10</v>
      </c>
      <c r="D389" s="21">
        <v>388</v>
      </c>
      <c r="E389" s="21" t="str">
        <f t="shared" si="6"/>
        <v>=INDEX(Liste;$E$2;390)</v>
      </c>
      <c r="F389" s="154" t="s">
        <v>2889</v>
      </c>
    </row>
    <row r="390" spans="1:6" ht="15.75" x14ac:dyDescent="0.25">
      <c r="A390" s="21" t="s">
        <v>73</v>
      </c>
      <c r="B390" t="s">
        <v>401</v>
      </c>
      <c r="C390" s="21">
        <v>11</v>
      </c>
      <c r="D390" s="21">
        <v>389</v>
      </c>
      <c r="E390" s="21" t="str">
        <f t="shared" si="6"/>
        <v>=INDEX(Liste;$E$2;391)</v>
      </c>
      <c r="F390" s="154" t="s">
        <v>2893</v>
      </c>
    </row>
    <row r="391" spans="1:6" ht="15.75" x14ac:dyDescent="0.25">
      <c r="A391" s="21" t="s">
        <v>74</v>
      </c>
      <c r="B391" t="s">
        <v>3237</v>
      </c>
      <c r="C391" s="21">
        <v>12</v>
      </c>
      <c r="D391" s="21">
        <v>390</v>
      </c>
      <c r="E391" s="21" t="str">
        <f t="shared" si="6"/>
        <v>=INDEX(Liste;$E$2;392)</v>
      </c>
      <c r="F391" s="154" t="s">
        <v>2894</v>
      </c>
    </row>
    <row r="392" spans="1:6" ht="15.75" x14ac:dyDescent="0.25">
      <c r="A392" s="21" t="s">
        <v>2890</v>
      </c>
      <c r="B392" t="s">
        <v>402</v>
      </c>
      <c r="C392" s="21">
        <v>13</v>
      </c>
      <c r="D392" s="21">
        <v>391</v>
      </c>
      <c r="E392" s="21" t="str">
        <f t="shared" si="6"/>
        <v>=INDEX(Liste;$E$2;393)</v>
      </c>
      <c r="F392" s="154" t="s">
        <v>2890</v>
      </c>
    </row>
    <row r="393" spans="1:6" ht="15.75" x14ac:dyDescent="0.25">
      <c r="A393" s="21" t="s">
        <v>2891</v>
      </c>
      <c r="B393" t="s">
        <v>403</v>
      </c>
      <c r="C393" s="21">
        <v>14</v>
      </c>
      <c r="D393" s="21">
        <v>392</v>
      </c>
      <c r="E393" s="21" t="str">
        <f t="shared" si="6"/>
        <v>=INDEX(Liste;$E$2;394)</v>
      </c>
      <c r="F393" s="154" t="s">
        <v>2891</v>
      </c>
    </row>
    <row r="394" spans="1:6" ht="15.75" x14ac:dyDescent="0.25">
      <c r="A394" s="21" t="s">
        <v>75</v>
      </c>
      <c r="B394" t="s">
        <v>404</v>
      </c>
      <c r="C394" s="21">
        <v>15</v>
      </c>
      <c r="D394" s="21">
        <v>393</v>
      </c>
      <c r="E394" s="21" t="str">
        <f t="shared" si="6"/>
        <v>=INDEX(Liste;$E$2;395)</v>
      </c>
      <c r="F394" s="154" t="s">
        <v>2895</v>
      </c>
    </row>
    <row r="395" spans="1:6" ht="15.75" x14ac:dyDescent="0.25">
      <c r="A395" s="21" t="s">
        <v>2658</v>
      </c>
      <c r="B395" t="s">
        <v>405</v>
      </c>
      <c r="C395" s="21">
        <v>16</v>
      </c>
      <c r="D395" s="21">
        <v>394</v>
      </c>
      <c r="E395" s="21" t="str">
        <f t="shared" si="6"/>
        <v>=INDEX(Liste;$E$2;396)</v>
      </c>
      <c r="F395" s="154" t="s">
        <v>2658</v>
      </c>
    </row>
    <row r="396" spans="1:6" ht="15.75" x14ac:dyDescent="0.25">
      <c r="A396" s="21" t="s">
        <v>2892</v>
      </c>
      <c r="B396" t="s">
        <v>406</v>
      </c>
      <c r="C396" s="21">
        <v>17</v>
      </c>
      <c r="D396" s="21">
        <v>395</v>
      </c>
      <c r="E396" s="21" t="str">
        <f t="shared" si="6"/>
        <v>=INDEX(Liste;$E$2;397)</v>
      </c>
      <c r="F396" s="154" t="s">
        <v>2892</v>
      </c>
    </row>
    <row r="397" spans="1:6" ht="15.75" x14ac:dyDescent="0.25">
      <c r="A397" s="21" t="s">
        <v>62</v>
      </c>
      <c r="B397" s="21" t="s">
        <v>62</v>
      </c>
      <c r="C397" s="21">
        <v>18</v>
      </c>
      <c r="D397" s="21">
        <v>396</v>
      </c>
      <c r="E397" s="21" t="str">
        <f t="shared" si="6"/>
        <v>=INDEX(Liste;$E$2;398)</v>
      </c>
      <c r="F397" s="154" t="s">
        <v>2896</v>
      </c>
    </row>
    <row r="398" spans="1:6" ht="15.75" x14ac:dyDescent="0.25">
      <c r="A398" s="21" t="s">
        <v>63</v>
      </c>
      <c r="B398" s="21" t="s">
        <v>63</v>
      </c>
      <c r="C398" s="21">
        <v>19</v>
      </c>
      <c r="D398" s="21">
        <v>397</v>
      </c>
      <c r="E398" s="21" t="str">
        <f t="shared" si="6"/>
        <v>=INDEX(Liste;$E$2;399)</v>
      </c>
      <c r="F398" s="154" t="s">
        <v>2897</v>
      </c>
    </row>
    <row r="399" spans="1:6" ht="15.75" x14ac:dyDescent="0.25">
      <c r="A399" s="21" t="s">
        <v>64</v>
      </c>
      <c r="B399" s="21" t="s">
        <v>64</v>
      </c>
      <c r="C399" s="21">
        <v>20</v>
      </c>
      <c r="D399" s="21">
        <v>398</v>
      </c>
      <c r="E399" s="21" t="str">
        <f t="shared" si="6"/>
        <v>=INDEX(Liste;$E$2;400)</v>
      </c>
      <c r="F399" s="154" t="s">
        <v>2898</v>
      </c>
    </row>
    <row r="400" spans="1:6" ht="15.75" x14ac:dyDescent="0.25">
      <c r="A400" s="21" t="s">
        <v>65</v>
      </c>
      <c r="B400" s="21" t="s">
        <v>65</v>
      </c>
      <c r="C400" s="21">
        <v>21</v>
      </c>
      <c r="D400" s="21">
        <v>399</v>
      </c>
      <c r="E400" s="21" t="str">
        <f t="shared" si="6"/>
        <v>=INDEX(Liste;$E$2;401)</v>
      </c>
      <c r="F400" s="154" t="s">
        <v>2899</v>
      </c>
    </row>
  </sheetData>
  <autoFilter ref="A1:F400" xr:uid="{2E8FDEC6-F143-44D5-9990-CD24FA76C093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50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2.75" x14ac:dyDescent="0.2"/>
  <cols>
    <col min="1" max="1" width="61.7109375" bestFit="1" customWidth="1"/>
    <col min="2" max="2" width="9" bestFit="1" customWidth="1"/>
  </cols>
  <sheetData>
    <row r="1" spans="1:4" x14ac:dyDescent="0.2">
      <c r="A1" s="21" t="s">
        <v>2732</v>
      </c>
      <c r="B1" s="21" t="s">
        <v>2733</v>
      </c>
      <c r="C1" s="21" t="s">
        <v>2734</v>
      </c>
      <c r="D1" s="21"/>
    </row>
    <row r="2" spans="1:4" x14ac:dyDescent="0.2">
      <c r="A2" s="21" t="s">
        <v>1596</v>
      </c>
      <c r="B2" s="21" t="s">
        <v>449</v>
      </c>
      <c r="C2" s="21"/>
      <c r="D2" s="21"/>
    </row>
    <row r="3" spans="1:4" x14ac:dyDescent="0.2">
      <c r="A3" s="21" t="s">
        <v>2735</v>
      </c>
      <c r="B3" s="21" t="s">
        <v>2736</v>
      </c>
      <c r="C3" s="21"/>
      <c r="D3" s="21"/>
    </row>
    <row r="4" spans="1:4" x14ac:dyDescent="0.2">
      <c r="A4" s="21" t="s">
        <v>2737</v>
      </c>
      <c r="B4" s="21" t="s">
        <v>2738</v>
      </c>
      <c r="C4" s="21"/>
      <c r="D4" s="21"/>
    </row>
    <row r="5" spans="1:4" x14ac:dyDescent="0.2">
      <c r="A5" s="21" t="s">
        <v>1603</v>
      </c>
      <c r="B5" s="21" t="s">
        <v>2739</v>
      </c>
      <c r="C5" s="21"/>
      <c r="D5" s="21"/>
    </row>
    <row r="6" spans="1:4" x14ac:dyDescent="0.2">
      <c r="A6" s="21" t="s">
        <v>1604</v>
      </c>
      <c r="B6" s="21" t="s">
        <v>2740</v>
      </c>
      <c r="C6" s="21"/>
      <c r="D6" s="21"/>
    </row>
    <row r="7" spans="1:4" x14ac:dyDescent="0.2">
      <c r="A7" s="21" t="s">
        <v>1605</v>
      </c>
      <c r="B7" s="21" t="s">
        <v>2741</v>
      </c>
      <c r="C7" s="21"/>
      <c r="D7" s="21"/>
    </row>
    <row r="8" spans="1:4" x14ac:dyDescent="0.2">
      <c r="A8" s="21" t="s">
        <v>2742</v>
      </c>
      <c r="B8" s="21" t="s">
        <v>2743</v>
      </c>
      <c r="C8" s="21"/>
      <c r="D8" s="21"/>
    </row>
    <row r="9" spans="1:4" x14ac:dyDescent="0.2">
      <c r="A9" s="21" t="s">
        <v>2744</v>
      </c>
      <c r="B9" s="21" t="s">
        <v>2745</v>
      </c>
      <c r="C9" s="21"/>
      <c r="D9" s="21"/>
    </row>
    <row r="10" spans="1:4" x14ac:dyDescent="0.2">
      <c r="A10" s="21" t="s">
        <v>2746</v>
      </c>
      <c r="B10" s="21" t="s">
        <v>2747</v>
      </c>
      <c r="C10" s="21"/>
      <c r="D10" s="21"/>
    </row>
    <row r="11" spans="1:4" x14ac:dyDescent="0.2">
      <c r="A11" s="21" t="s">
        <v>1611</v>
      </c>
      <c r="B11" s="21" t="s">
        <v>2748</v>
      </c>
      <c r="C11" s="21"/>
      <c r="D11" s="21"/>
    </row>
    <row r="12" spans="1:4" x14ac:dyDescent="0.2">
      <c r="A12" s="21" t="s">
        <v>1613</v>
      </c>
      <c r="B12" s="21" t="s">
        <v>2749</v>
      </c>
      <c r="C12" s="21"/>
      <c r="D12" s="21"/>
    </row>
    <row r="13" spans="1:4" x14ac:dyDescent="0.2">
      <c r="A13" s="21" t="s">
        <v>1614</v>
      </c>
      <c r="B13" s="21" t="s">
        <v>2750</v>
      </c>
      <c r="C13" s="21"/>
      <c r="D13" s="21"/>
    </row>
    <row r="14" spans="1:4" x14ac:dyDescent="0.2">
      <c r="A14" s="21" t="s">
        <v>2751</v>
      </c>
      <c r="B14" s="21" t="s">
        <v>2752</v>
      </c>
      <c r="C14" s="21"/>
      <c r="D14" s="21"/>
    </row>
    <row r="15" spans="1:4" x14ac:dyDescent="0.2">
      <c r="A15" s="21" t="s">
        <v>1616</v>
      </c>
      <c r="B15" s="21" t="s">
        <v>2753</v>
      </c>
      <c r="C15" s="21"/>
      <c r="D15" s="21"/>
    </row>
    <row r="16" spans="1:4" x14ac:dyDescent="0.2">
      <c r="A16" s="21" t="s">
        <v>1617</v>
      </c>
      <c r="B16" s="21" t="s">
        <v>2754</v>
      </c>
      <c r="C16" s="21"/>
      <c r="D16" s="21"/>
    </row>
    <row r="17" spans="1:4" x14ac:dyDescent="0.2">
      <c r="A17" s="21" t="s">
        <v>1618</v>
      </c>
      <c r="B17" s="21" t="s">
        <v>2755</v>
      </c>
      <c r="C17" s="21"/>
      <c r="D17" s="21"/>
    </row>
    <row r="18" spans="1:4" x14ac:dyDescent="0.2">
      <c r="A18" s="21" t="s">
        <v>2756</v>
      </c>
      <c r="B18" s="21" t="s">
        <v>2757</v>
      </c>
      <c r="C18" s="21"/>
      <c r="D18" s="21"/>
    </row>
    <row r="19" spans="1:4" x14ac:dyDescent="0.2">
      <c r="A19" s="21" t="s">
        <v>1623</v>
      </c>
      <c r="B19" s="21" t="s">
        <v>2758</v>
      </c>
      <c r="C19" s="21"/>
      <c r="D19" s="21"/>
    </row>
    <row r="20" spans="1:4" x14ac:dyDescent="0.2">
      <c r="A20" s="21" t="s">
        <v>1624</v>
      </c>
      <c r="B20" s="21" t="s">
        <v>2759</v>
      </c>
      <c r="C20" s="21"/>
      <c r="D20" s="21"/>
    </row>
    <row r="21" spans="1:4" x14ac:dyDescent="0.2">
      <c r="A21" s="21" t="s">
        <v>1625</v>
      </c>
      <c r="B21" s="21" t="s">
        <v>2760</v>
      </c>
      <c r="C21" s="21"/>
      <c r="D21" s="21"/>
    </row>
    <row r="22" spans="1:4" x14ac:dyDescent="0.2">
      <c r="A22" s="21" t="s">
        <v>1626</v>
      </c>
      <c r="B22" s="21" t="s">
        <v>2761</v>
      </c>
      <c r="C22" s="21"/>
      <c r="D22" s="21"/>
    </row>
    <row r="23" spans="1:4" x14ac:dyDescent="0.2">
      <c r="A23" s="21" t="s">
        <v>1627</v>
      </c>
      <c r="B23" s="21" t="s">
        <v>2762</v>
      </c>
      <c r="C23" s="21"/>
      <c r="D23" s="21"/>
    </row>
    <row r="24" spans="1:4" x14ac:dyDescent="0.2">
      <c r="A24" s="21" t="s">
        <v>1628</v>
      </c>
      <c r="B24" s="21" t="s">
        <v>2763</v>
      </c>
      <c r="C24" s="21"/>
      <c r="D24" s="21"/>
    </row>
    <row r="25" spans="1:4" x14ac:dyDescent="0.2">
      <c r="A25" s="21" t="s">
        <v>2764</v>
      </c>
      <c r="B25" s="21" t="s">
        <v>2765</v>
      </c>
      <c r="C25" s="21"/>
      <c r="D25" s="21"/>
    </row>
    <row r="26" spans="1:4" x14ac:dyDescent="0.2">
      <c r="A26" s="21" t="s">
        <v>2766</v>
      </c>
      <c r="B26" s="21" t="s">
        <v>2767</v>
      </c>
      <c r="C26" s="21"/>
      <c r="D26" s="21"/>
    </row>
    <row r="27" spans="1:4" x14ac:dyDescent="0.2">
      <c r="A27" s="21" t="s">
        <v>1632</v>
      </c>
      <c r="B27" s="21" t="s">
        <v>2768</v>
      </c>
      <c r="C27" s="21"/>
      <c r="D27" s="21"/>
    </row>
    <row r="28" spans="1:4" x14ac:dyDescent="0.2">
      <c r="A28" s="21" t="s">
        <v>2769</v>
      </c>
      <c r="B28" s="21" t="s">
        <v>2770</v>
      </c>
      <c r="C28" s="21"/>
      <c r="D28" s="21"/>
    </row>
    <row r="29" spans="1:4" x14ac:dyDescent="0.2">
      <c r="A29" s="21" t="s">
        <v>1634</v>
      </c>
      <c r="B29" s="21" t="s">
        <v>2771</v>
      </c>
      <c r="C29" s="21"/>
      <c r="D29" s="21"/>
    </row>
    <row r="30" spans="1:4" x14ac:dyDescent="0.2">
      <c r="A30" s="21" t="s">
        <v>1635</v>
      </c>
      <c r="B30" s="21" t="s">
        <v>2772</v>
      </c>
      <c r="C30" s="21"/>
      <c r="D30" s="21"/>
    </row>
    <row r="31" spans="1:4" x14ac:dyDescent="0.2">
      <c r="A31" s="21" t="s">
        <v>1637</v>
      </c>
      <c r="B31" s="21" t="s">
        <v>2773</v>
      </c>
      <c r="C31" s="21"/>
      <c r="D31" s="21"/>
    </row>
    <row r="32" spans="1:4" x14ac:dyDescent="0.2">
      <c r="A32" s="21" t="s">
        <v>1638</v>
      </c>
      <c r="B32" s="21" t="s">
        <v>2774</v>
      </c>
      <c r="C32" s="21"/>
      <c r="D32" s="21"/>
    </row>
    <row r="33" spans="1:4" x14ac:dyDescent="0.2">
      <c r="A33" s="21" t="s">
        <v>1639</v>
      </c>
      <c r="B33" s="21" t="s">
        <v>2775</v>
      </c>
      <c r="C33" s="21"/>
      <c r="D33" s="21"/>
    </row>
    <row r="34" spans="1:4" x14ac:dyDescent="0.2">
      <c r="A34" s="21" t="s">
        <v>2776</v>
      </c>
      <c r="B34" s="21" t="s">
        <v>2777</v>
      </c>
      <c r="C34" s="21"/>
      <c r="D34" s="21"/>
    </row>
    <row r="35" spans="1:4" x14ac:dyDescent="0.2">
      <c r="A35" s="21" t="s">
        <v>1641</v>
      </c>
      <c r="B35" s="21" t="s">
        <v>2778</v>
      </c>
      <c r="C35" s="21"/>
      <c r="D35" s="21"/>
    </row>
    <row r="36" spans="1:4" x14ac:dyDescent="0.2">
      <c r="A36" s="21" t="s">
        <v>1642</v>
      </c>
      <c r="B36" s="21" t="s">
        <v>2779</v>
      </c>
      <c r="C36" s="21"/>
      <c r="D36" s="21"/>
    </row>
    <row r="37" spans="1:4" x14ac:dyDescent="0.2">
      <c r="A37" s="21" t="s">
        <v>2780</v>
      </c>
      <c r="B37" s="21" t="s">
        <v>2781</v>
      </c>
      <c r="C37" s="21"/>
      <c r="D37" s="21"/>
    </row>
    <row r="38" spans="1:4" x14ac:dyDescent="0.2">
      <c r="A38" s="21" t="s">
        <v>2782</v>
      </c>
      <c r="B38" s="21" t="s">
        <v>2783</v>
      </c>
      <c r="C38" s="21"/>
      <c r="D38" s="21"/>
    </row>
    <row r="39" spans="1:4" x14ac:dyDescent="0.2">
      <c r="A39" s="21" t="s">
        <v>2784</v>
      </c>
      <c r="B39" s="21" t="s">
        <v>2785</v>
      </c>
      <c r="C39" s="21"/>
      <c r="D39" s="21"/>
    </row>
    <row r="40" spans="1:4" x14ac:dyDescent="0.2">
      <c r="A40" s="21" t="s">
        <v>2786</v>
      </c>
      <c r="B40" s="21" t="s">
        <v>2787</v>
      </c>
      <c r="C40" s="21"/>
      <c r="D40" s="21"/>
    </row>
    <row r="41" spans="1:4" x14ac:dyDescent="0.2">
      <c r="A41" s="21" t="s">
        <v>2788</v>
      </c>
      <c r="B41" s="21" t="s">
        <v>2789</v>
      </c>
      <c r="C41" s="21"/>
      <c r="D41" s="21"/>
    </row>
    <row r="42" spans="1:4" x14ac:dyDescent="0.2">
      <c r="A42" s="21" t="s">
        <v>2790</v>
      </c>
      <c r="B42" s="21" t="s">
        <v>2791</v>
      </c>
      <c r="C42" s="21"/>
      <c r="D42" s="21"/>
    </row>
    <row r="43" spans="1:4" x14ac:dyDescent="0.2">
      <c r="A43" s="21" t="s">
        <v>2792</v>
      </c>
      <c r="B43" s="21" t="s">
        <v>407</v>
      </c>
      <c r="C43" s="21"/>
      <c r="D43" s="21"/>
    </row>
    <row r="44" spans="1:4" x14ac:dyDescent="0.2">
      <c r="A44" s="21" t="s">
        <v>2793</v>
      </c>
      <c r="B44" s="21" t="s">
        <v>408</v>
      </c>
      <c r="C44" s="21"/>
      <c r="D44" s="21"/>
    </row>
    <row r="45" spans="1:4" x14ac:dyDescent="0.2">
      <c r="A45" s="21" t="s">
        <v>1653</v>
      </c>
      <c r="B45" s="21" t="s">
        <v>705</v>
      </c>
      <c r="C45" s="21"/>
      <c r="D45" s="21"/>
    </row>
    <row r="46" spans="1:4" x14ac:dyDescent="0.2">
      <c r="A46" s="21" t="s">
        <v>2794</v>
      </c>
      <c r="B46" s="21" t="s">
        <v>735</v>
      </c>
      <c r="C46" s="21"/>
      <c r="D46" s="21"/>
    </row>
    <row r="47" spans="1:4" x14ac:dyDescent="0.2">
      <c r="A47" s="21" t="s">
        <v>2795</v>
      </c>
      <c r="B47" s="21" t="s">
        <v>691</v>
      </c>
      <c r="C47" s="21"/>
      <c r="D47" s="21"/>
    </row>
    <row r="48" spans="1:4" x14ac:dyDescent="0.2">
      <c r="A48" s="21" t="s">
        <v>1656</v>
      </c>
      <c r="B48" s="21" t="s">
        <v>727</v>
      </c>
      <c r="C48" s="21"/>
      <c r="D48" s="21"/>
    </row>
    <row r="49" spans="1:4" x14ac:dyDescent="0.2">
      <c r="A49" s="21" t="s">
        <v>2796</v>
      </c>
      <c r="B49" s="21" t="s">
        <v>749</v>
      </c>
      <c r="C49" s="21"/>
      <c r="D49" s="21"/>
    </row>
    <row r="50" spans="1:4" x14ac:dyDescent="0.2">
      <c r="A50" s="21" t="s">
        <v>1658</v>
      </c>
      <c r="B50" s="21" t="s">
        <v>753</v>
      </c>
      <c r="C50" s="21"/>
      <c r="D50" s="21"/>
    </row>
    <row r="51" spans="1:4" x14ac:dyDescent="0.2">
      <c r="A51" s="21" t="s">
        <v>2797</v>
      </c>
      <c r="B51" s="21" t="s">
        <v>751</v>
      </c>
      <c r="C51" s="21"/>
      <c r="D51" s="21"/>
    </row>
    <row r="52" spans="1:4" x14ac:dyDescent="0.2">
      <c r="A52" s="21" t="s">
        <v>1660</v>
      </c>
      <c r="B52" s="21" t="s">
        <v>699</v>
      </c>
      <c r="C52" s="21"/>
      <c r="D52" s="21"/>
    </row>
    <row r="53" spans="1:4" x14ac:dyDescent="0.2">
      <c r="A53" s="21" t="s">
        <v>1661</v>
      </c>
      <c r="B53" s="21" t="s">
        <v>747</v>
      </c>
      <c r="C53" s="21"/>
      <c r="D53" s="21"/>
    </row>
    <row r="54" spans="1:4" x14ac:dyDescent="0.2">
      <c r="A54" s="21" t="s">
        <v>1673</v>
      </c>
      <c r="B54" s="21" t="s">
        <v>2798</v>
      </c>
      <c r="C54" s="21"/>
      <c r="D54" s="21"/>
    </row>
    <row r="55" spans="1:4" x14ac:dyDescent="0.2">
      <c r="A55" s="21" t="s">
        <v>1663</v>
      </c>
      <c r="B55" s="21" t="s">
        <v>2799</v>
      </c>
      <c r="C55" s="21"/>
      <c r="D55" s="21"/>
    </row>
    <row r="56" spans="1:4" x14ac:dyDescent="0.2">
      <c r="A56" s="21" t="s">
        <v>2800</v>
      </c>
      <c r="B56" s="21" t="s">
        <v>659</v>
      </c>
      <c r="C56" s="21"/>
      <c r="D56" s="21"/>
    </row>
    <row r="57" spans="1:4" x14ac:dyDescent="0.2">
      <c r="A57" s="21" t="s">
        <v>1665</v>
      </c>
      <c r="B57" s="21" t="s">
        <v>745</v>
      </c>
      <c r="C57" s="21"/>
      <c r="D57" s="21"/>
    </row>
    <row r="58" spans="1:4" x14ac:dyDescent="0.2">
      <c r="A58" s="21" t="s">
        <v>2801</v>
      </c>
      <c r="B58" s="21" t="s">
        <v>539</v>
      </c>
      <c r="C58" s="21"/>
      <c r="D58" s="21"/>
    </row>
    <row r="59" spans="1:4" x14ac:dyDescent="0.2">
      <c r="A59" s="21" t="s">
        <v>1667</v>
      </c>
      <c r="B59" s="21" t="s">
        <v>737</v>
      </c>
      <c r="C59" s="21"/>
      <c r="D59" s="21"/>
    </row>
    <row r="60" spans="1:4" x14ac:dyDescent="0.2">
      <c r="A60" s="21" t="s">
        <v>1668</v>
      </c>
      <c r="B60" s="21" t="s">
        <v>701</v>
      </c>
      <c r="C60" s="21"/>
      <c r="D60" s="21"/>
    </row>
    <row r="61" spans="1:4" x14ac:dyDescent="0.2">
      <c r="A61" s="21" t="s">
        <v>2802</v>
      </c>
      <c r="B61" s="21" t="s">
        <v>2803</v>
      </c>
      <c r="C61" s="21"/>
      <c r="D61" s="21"/>
    </row>
    <row r="62" spans="1:4" x14ac:dyDescent="0.2">
      <c r="A62" s="21" t="s">
        <v>2804</v>
      </c>
      <c r="B62" s="21" t="s">
        <v>757</v>
      </c>
      <c r="C62" s="21"/>
      <c r="D62" s="21"/>
    </row>
    <row r="63" spans="1:4" x14ac:dyDescent="0.2">
      <c r="A63" s="21" t="s">
        <v>1673</v>
      </c>
      <c r="B63" s="21" t="s">
        <v>2805</v>
      </c>
      <c r="C63" s="21"/>
      <c r="D63" s="21"/>
    </row>
    <row r="64" spans="1:4" x14ac:dyDescent="0.2">
      <c r="A64" s="21" t="s">
        <v>2806</v>
      </c>
      <c r="B64" s="21" t="s">
        <v>2807</v>
      </c>
      <c r="C64" s="21"/>
      <c r="D64" s="21"/>
    </row>
    <row r="65" spans="1:4" x14ac:dyDescent="0.2">
      <c r="A65" s="21" t="s">
        <v>2808</v>
      </c>
      <c r="B65" s="21" t="s">
        <v>2809</v>
      </c>
      <c r="C65" s="21"/>
      <c r="D65" s="21"/>
    </row>
    <row r="66" spans="1:4" x14ac:dyDescent="0.2">
      <c r="A66" s="21" t="s">
        <v>2810</v>
      </c>
      <c r="B66" s="21" t="s">
        <v>2811</v>
      </c>
      <c r="C66" s="21"/>
      <c r="D66" s="21"/>
    </row>
    <row r="67" spans="1:4" x14ac:dyDescent="0.2">
      <c r="A67" s="21" t="s">
        <v>2812</v>
      </c>
      <c r="B67" s="21" t="s">
        <v>2813</v>
      </c>
      <c r="C67" s="21"/>
      <c r="D67" s="21"/>
    </row>
    <row r="68" spans="1:4" x14ac:dyDescent="0.2">
      <c r="A68" s="21" t="s">
        <v>2744</v>
      </c>
      <c r="B68" s="21" t="s">
        <v>2814</v>
      </c>
      <c r="C68" s="21"/>
      <c r="D68" s="21"/>
    </row>
    <row r="69" spans="1:4" x14ac:dyDescent="0.2">
      <c r="A69" s="21" t="s">
        <v>1683</v>
      </c>
      <c r="B69" s="21" t="s">
        <v>741</v>
      </c>
      <c r="C69" s="21"/>
      <c r="D69" s="21"/>
    </row>
    <row r="70" spans="1:4" x14ac:dyDescent="0.2">
      <c r="A70" s="21" t="s">
        <v>1684</v>
      </c>
      <c r="B70" s="21" t="s">
        <v>743</v>
      </c>
      <c r="C70" s="21"/>
      <c r="D70" s="21"/>
    </row>
    <row r="71" spans="1:4" x14ac:dyDescent="0.2">
      <c r="A71" s="21" t="s">
        <v>2815</v>
      </c>
      <c r="B71" s="21" t="s">
        <v>759</v>
      </c>
      <c r="C71" s="21"/>
      <c r="D71" s="21"/>
    </row>
    <row r="72" spans="1:4" x14ac:dyDescent="0.2">
      <c r="A72" s="21" t="s">
        <v>1688</v>
      </c>
      <c r="B72" s="21" t="s">
        <v>733</v>
      </c>
      <c r="C72" s="21"/>
      <c r="D72" s="21"/>
    </row>
    <row r="73" spans="1:4" x14ac:dyDescent="0.2">
      <c r="A73" s="21" t="s">
        <v>1689</v>
      </c>
      <c r="B73" s="21" t="s">
        <v>697</v>
      </c>
      <c r="C73" s="21"/>
      <c r="D73" s="21"/>
    </row>
    <row r="74" spans="1:4" x14ac:dyDescent="0.2">
      <c r="A74" s="21" t="s">
        <v>2816</v>
      </c>
      <c r="B74" s="21" t="s">
        <v>729</v>
      </c>
      <c r="C74" s="21"/>
      <c r="D74" s="21"/>
    </row>
    <row r="75" spans="1:4" x14ac:dyDescent="0.2">
      <c r="A75" s="21" t="s">
        <v>2817</v>
      </c>
      <c r="B75" s="21" t="s">
        <v>731</v>
      </c>
      <c r="C75" s="21"/>
      <c r="D75" s="21"/>
    </row>
    <row r="76" spans="1:4" x14ac:dyDescent="0.2">
      <c r="A76" s="21" t="s">
        <v>2818</v>
      </c>
      <c r="B76" s="21" t="s">
        <v>703</v>
      </c>
      <c r="C76" s="21"/>
      <c r="D76" s="21"/>
    </row>
    <row r="77" spans="1:4" x14ac:dyDescent="0.2">
      <c r="A77" s="21" t="s">
        <v>1694</v>
      </c>
      <c r="B77" s="21" t="s">
        <v>715</v>
      </c>
      <c r="C77" s="21"/>
      <c r="D77" s="21"/>
    </row>
    <row r="78" spans="1:4" x14ac:dyDescent="0.2">
      <c r="A78" s="21" t="s">
        <v>1695</v>
      </c>
      <c r="B78" s="21" t="s">
        <v>713</v>
      </c>
      <c r="C78" s="21"/>
      <c r="D78" s="21"/>
    </row>
    <row r="79" spans="1:4" x14ac:dyDescent="0.2">
      <c r="A79" s="21" t="s">
        <v>1696</v>
      </c>
      <c r="B79" s="21" t="s">
        <v>717</v>
      </c>
      <c r="C79" s="21"/>
      <c r="D79" s="21"/>
    </row>
    <row r="80" spans="1:4" x14ac:dyDescent="0.2">
      <c r="A80" s="21" t="s">
        <v>1697</v>
      </c>
      <c r="B80" s="21" t="s">
        <v>695</v>
      </c>
      <c r="C80" s="21"/>
      <c r="D80" s="21"/>
    </row>
    <row r="81" spans="1:4" x14ac:dyDescent="0.2">
      <c r="A81" s="21" t="s">
        <v>2819</v>
      </c>
      <c r="B81" s="21" t="s">
        <v>739</v>
      </c>
      <c r="C81" s="21"/>
      <c r="D81" s="21"/>
    </row>
    <row r="82" spans="1:4" x14ac:dyDescent="0.2">
      <c r="A82" s="21" t="s">
        <v>2820</v>
      </c>
      <c r="B82" s="21" t="s">
        <v>761</v>
      </c>
      <c r="C82" s="21"/>
      <c r="D82" s="21"/>
    </row>
    <row r="83" spans="1:4" x14ac:dyDescent="0.2">
      <c r="A83" s="21" t="s">
        <v>2821</v>
      </c>
      <c r="B83" s="21" t="s">
        <v>689</v>
      </c>
      <c r="C83" s="21"/>
      <c r="D83" s="21"/>
    </row>
    <row r="84" spans="1:4" x14ac:dyDescent="0.2">
      <c r="A84" s="21" t="s">
        <v>2822</v>
      </c>
      <c r="B84" s="21" t="s">
        <v>763</v>
      </c>
      <c r="C84" s="21"/>
      <c r="D84" s="21"/>
    </row>
    <row r="85" spans="1:4" x14ac:dyDescent="0.2">
      <c r="A85" s="21" t="s">
        <v>2823</v>
      </c>
      <c r="B85" s="21" t="s">
        <v>723</v>
      </c>
      <c r="C85" s="21"/>
      <c r="D85" s="21"/>
    </row>
    <row r="86" spans="1:4" x14ac:dyDescent="0.2">
      <c r="A86" s="21" t="s">
        <v>2824</v>
      </c>
      <c r="B86" s="21" t="s">
        <v>711</v>
      </c>
      <c r="C86" s="21"/>
      <c r="D86" s="21"/>
    </row>
    <row r="87" spans="1:4" x14ac:dyDescent="0.2">
      <c r="A87" s="21" t="s">
        <v>2825</v>
      </c>
      <c r="B87" s="21" t="s">
        <v>719</v>
      </c>
      <c r="C87" s="21"/>
      <c r="D87" s="21"/>
    </row>
    <row r="88" spans="1:4" x14ac:dyDescent="0.2">
      <c r="A88" s="21" t="s">
        <v>2826</v>
      </c>
      <c r="B88" s="21" t="s">
        <v>721</v>
      </c>
      <c r="C88" s="21"/>
      <c r="D88" s="21"/>
    </row>
    <row r="89" spans="1:4" x14ac:dyDescent="0.2">
      <c r="A89" s="21" t="s">
        <v>2827</v>
      </c>
      <c r="B89" s="21" t="s">
        <v>686</v>
      </c>
      <c r="C89" s="21"/>
      <c r="D89" s="21"/>
    </row>
    <row r="90" spans="1:4" x14ac:dyDescent="0.2">
      <c r="A90" s="21" t="s">
        <v>2828</v>
      </c>
      <c r="B90" s="21" t="s">
        <v>678</v>
      </c>
      <c r="C90" s="21"/>
      <c r="D90" s="21"/>
    </row>
    <row r="91" spans="1:4" x14ac:dyDescent="0.2">
      <c r="A91" s="21" t="s">
        <v>2829</v>
      </c>
      <c r="B91" s="21" t="s">
        <v>682</v>
      </c>
      <c r="C91" s="21"/>
      <c r="D91" s="21"/>
    </row>
    <row r="92" spans="1:4" x14ac:dyDescent="0.2">
      <c r="A92" s="21" t="s">
        <v>2830</v>
      </c>
      <c r="B92" s="21" t="s">
        <v>674</v>
      </c>
      <c r="C92" s="21"/>
      <c r="D92" s="21"/>
    </row>
    <row r="93" spans="1:4" x14ac:dyDescent="0.2">
      <c r="A93" s="21" t="s">
        <v>1724</v>
      </c>
      <c r="B93" s="21" t="s">
        <v>639</v>
      </c>
      <c r="C93" s="21"/>
      <c r="D93" s="21"/>
    </row>
    <row r="94" spans="1:4" x14ac:dyDescent="0.2">
      <c r="A94" s="21" t="s">
        <v>1725</v>
      </c>
      <c r="B94" s="21" t="s">
        <v>637</v>
      </c>
      <c r="C94" s="21"/>
      <c r="D94" s="21"/>
    </row>
    <row r="95" spans="1:4" x14ac:dyDescent="0.2">
      <c r="A95" s="21" t="s">
        <v>2831</v>
      </c>
      <c r="B95" s="21" t="s">
        <v>1727</v>
      </c>
      <c r="C95" s="21"/>
      <c r="D95" s="21"/>
    </row>
    <row r="96" spans="1:4" x14ac:dyDescent="0.2">
      <c r="A96" s="21" t="s">
        <v>2832</v>
      </c>
      <c r="B96" s="21" t="s">
        <v>653</v>
      </c>
      <c r="C96" s="21"/>
      <c r="D96" s="21"/>
    </row>
    <row r="97" spans="1:4" x14ac:dyDescent="0.2">
      <c r="A97" s="21" t="s">
        <v>1729</v>
      </c>
      <c r="B97" s="21" t="s">
        <v>609</v>
      </c>
      <c r="C97" s="21"/>
      <c r="D97" s="21"/>
    </row>
    <row r="98" spans="1:4" x14ac:dyDescent="0.2">
      <c r="A98" s="21" t="s">
        <v>2833</v>
      </c>
      <c r="B98" s="21" t="s">
        <v>665</v>
      </c>
      <c r="C98" s="21"/>
      <c r="D98" s="21"/>
    </row>
    <row r="99" spans="1:4" x14ac:dyDescent="0.2">
      <c r="A99" s="21" t="s">
        <v>2834</v>
      </c>
      <c r="B99" s="21" t="s">
        <v>599</v>
      </c>
      <c r="C99" s="21"/>
      <c r="D99" s="21"/>
    </row>
    <row r="100" spans="1:4" x14ac:dyDescent="0.2">
      <c r="A100" s="21" t="s">
        <v>2835</v>
      </c>
      <c r="B100" s="21" t="s">
        <v>669</v>
      </c>
      <c r="C100" s="21"/>
      <c r="D100" s="21"/>
    </row>
    <row r="101" spans="1:4" x14ac:dyDescent="0.2">
      <c r="A101" s="21" t="s">
        <v>2836</v>
      </c>
      <c r="B101" s="21" t="s">
        <v>601</v>
      </c>
      <c r="C101" s="21"/>
      <c r="D101" s="21"/>
    </row>
    <row r="102" spans="1:4" x14ac:dyDescent="0.2">
      <c r="A102" s="21" t="s">
        <v>2837</v>
      </c>
      <c r="B102" s="21" t="s">
        <v>671</v>
      </c>
      <c r="C102" s="21"/>
      <c r="D102" s="21"/>
    </row>
    <row r="103" spans="1:4" x14ac:dyDescent="0.2">
      <c r="A103" s="21" t="s">
        <v>1736</v>
      </c>
      <c r="B103" s="21" t="s">
        <v>603</v>
      </c>
      <c r="C103" s="21"/>
      <c r="D103" s="21"/>
    </row>
    <row r="104" spans="1:4" x14ac:dyDescent="0.2">
      <c r="A104" s="21" t="s">
        <v>2838</v>
      </c>
      <c r="B104" s="21" t="s">
        <v>631</v>
      </c>
      <c r="C104" s="21"/>
      <c r="D104" s="21"/>
    </row>
    <row r="105" spans="1:4" x14ac:dyDescent="0.2">
      <c r="A105" s="21" t="s">
        <v>1739</v>
      </c>
      <c r="B105" s="21" t="s">
        <v>657</v>
      </c>
      <c r="C105" s="21"/>
      <c r="D105" s="21"/>
    </row>
    <row r="106" spans="1:4" x14ac:dyDescent="0.2">
      <c r="A106" s="21" t="s">
        <v>1740</v>
      </c>
      <c r="B106" s="21" t="s">
        <v>615</v>
      </c>
      <c r="C106" s="21"/>
      <c r="D106" s="21"/>
    </row>
    <row r="107" spans="1:4" x14ac:dyDescent="0.2">
      <c r="A107" s="21" t="s">
        <v>2839</v>
      </c>
      <c r="B107" s="21" t="s">
        <v>621</v>
      </c>
      <c r="C107" s="21"/>
      <c r="D107" s="21"/>
    </row>
    <row r="108" spans="1:4" x14ac:dyDescent="0.2">
      <c r="A108" s="21" t="s">
        <v>2840</v>
      </c>
      <c r="B108" s="21" t="s">
        <v>623</v>
      </c>
      <c r="C108" s="21"/>
      <c r="D108" s="21"/>
    </row>
    <row r="109" spans="1:4" x14ac:dyDescent="0.2">
      <c r="A109" s="21" t="s">
        <v>2841</v>
      </c>
      <c r="B109" s="21" t="s">
        <v>627</v>
      </c>
      <c r="C109" s="21"/>
      <c r="D109" s="21"/>
    </row>
    <row r="110" spans="1:4" x14ac:dyDescent="0.2">
      <c r="A110" s="21" t="s">
        <v>2842</v>
      </c>
      <c r="B110" s="21" t="s">
        <v>625</v>
      </c>
      <c r="C110" s="21"/>
      <c r="D110" s="21"/>
    </row>
    <row r="111" spans="1:4" x14ac:dyDescent="0.2">
      <c r="A111" s="21" t="s">
        <v>1745</v>
      </c>
      <c r="B111" s="21" t="s">
        <v>605</v>
      </c>
      <c r="C111" s="21"/>
      <c r="D111" s="21"/>
    </row>
    <row r="112" spans="1:4" x14ac:dyDescent="0.2">
      <c r="A112" s="21" t="s">
        <v>2843</v>
      </c>
      <c r="B112" s="21" t="s">
        <v>661</v>
      </c>
      <c r="C112" s="21"/>
      <c r="D112" s="21"/>
    </row>
    <row r="113" spans="1:4" x14ac:dyDescent="0.2">
      <c r="A113" s="21" t="s">
        <v>2844</v>
      </c>
      <c r="B113" s="21" t="s">
        <v>649</v>
      </c>
      <c r="C113" s="21"/>
      <c r="D113" s="21"/>
    </row>
    <row r="114" spans="1:4" x14ac:dyDescent="0.2">
      <c r="A114" s="21" t="s">
        <v>2845</v>
      </c>
      <c r="B114" s="21" t="s">
        <v>611</v>
      </c>
      <c r="C114" s="21"/>
      <c r="D114" s="21"/>
    </row>
    <row r="115" spans="1:4" x14ac:dyDescent="0.2">
      <c r="A115" s="21" t="s">
        <v>2846</v>
      </c>
      <c r="B115" s="21" t="s">
        <v>635</v>
      </c>
      <c r="C115" s="21"/>
      <c r="D115" s="21"/>
    </row>
    <row r="116" spans="1:4" x14ac:dyDescent="0.2">
      <c r="A116" s="21" t="s">
        <v>1751</v>
      </c>
      <c r="B116" s="21" t="s">
        <v>643</v>
      </c>
      <c r="C116" s="21"/>
      <c r="D116" s="21"/>
    </row>
    <row r="117" spans="1:4" x14ac:dyDescent="0.2">
      <c r="A117" s="21" t="s">
        <v>2847</v>
      </c>
      <c r="B117" s="21" t="s">
        <v>641</v>
      </c>
      <c r="C117" s="21"/>
      <c r="D117" s="21"/>
    </row>
    <row r="118" spans="1:4" x14ac:dyDescent="0.2">
      <c r="A118" s="21" t="s">
        <v>2848</v>
      </c>
      <c r="B118" s="21" t="s">
        <v>607</v>
      </c>
      <c r="C118" s="21"/>
      <c r="D118" s="21"/>
    </row>
    <row r="119" spans="1:4" x14ac:dyDescent="0.2">
      <c r="A119" s="21" t="s">
        <v>1754</v>
      </c>
      <c r="B119" s="21" t="s">
        <v>585</v>
      </c>
      <c r="C119" s="21"/>
      <c r="D119" s="21"/>
    </row>
    <row r="120" spans="1:4" x14ac:dyDescent="0.2">
      <c r="A120" s="21" t="s">
        <v>1755</v>
      </c>
      <c r="B120" s="21" t="s">
        <v>619</v>
      </c>
      <c r="C120" s="21"/>
      <c r="D120" s="21"/>
    </row>
    <row r="121" spans="1:4" x14ac:dyDescent="0.2">
      <c r="A121" s="21" t="s">
        <v>2849</v>
      </c>
      <c r="B121" s="21" t="s">
        <v>645</v>
      </c>
      <c r="C121" s="21"/>
      <c r="D121" s="21"/>
    </row>
    <row r="122" spans="1:4" x14ac:dyDescent="0.2">
      <c r="A122" s="21" t="s">
        <v>2850</v>
      </c>
      <c r="B122" s="21" t="s">
        <v>667</v>
      </c>
      <c r="C122" s="21"/>
      <c r="D122" s="21"/>
    </row>
    <row r="123" spans="1:4" x14ac:dyDescent="0.2">
      <c r="A123" s="21" t="s">
        <v>2851</v>
      </c>
      <c r="B123" s="21" t="s">
        <v>629</v>
      </c>
      <c r="C123" s="21"/>
      <c r="D123" s="21"/>
    </row>
    <row r="124" spans="1:4" x14ac:dyDescent="0.2">
      <c r="A124" s="21" t="s">
        <v>2852</v>
      </c>
      <c r="B124" s="21" t="s">
        <v>633</v>
      </c>
      <c r="C124" s="21"/>
      <c r="D124" s="21"/>
    </row>
    <row r="125" spans="1:4" x14ac:dyDescent="0.2">
      <c r="A125" s="21" t="s">
        <v>1761</v>
      </c>
      <c r="B125" s="21" t="s">
        <v>617</v>
      </c>
      <c r="C125" s="21"/>
      <c r="D125" s="21"/>
    </row>
    <row r="126" spans="1:4" x14ac:dyDescent="0.2">
      <c r="A126" s="21" t="s">
        <v>2853</v>
      </c>
      <c r="B126" s="21" t="s">
        <v>613</v>
      </c>
      <c r="C126" s="21"/>
      <c r="D126" s="21"/>
    </row>
    <row r="127" spans="1:4" x14ac:dyDescent="0.2">
      <c r="A127" s="21" t="s">
        <v>2854</v>
      </c>
      <c r="B127" s="21" t="s">
        <v>663</v>
      </c>
      <c r="C127" s="21"/>
      <c r="D127" s="21"/>
    </row>
    <row r="128" spans="1:4" x14ac:dyDescent="0.2">
      <c r="A128" s="21" t="s">
        <v>2855</v>
      </c>
      <c r="B128" s="21" t="s">
        <v>651</v>
      </c>
      <c r="C128" s="21"/>
      <c r="D128" s="21"/>
    </row>
    <row r="129" spans="1:4" x14ac:dyDescent="0.2">
      <c r="A129" s="21" t="s">
        <v>2856</v>
      </c>
      <c r="B129" s="21" t="s">
        <v>647</v>
      </c>
      <c r="C129" s="21"/>
      <c r="D129" s="21"/>
    </row>
    <row r="130" spans="1:4" x14ac:dyDescent="0.2">
      <c r="A130" s="21" t="s">
        <v>1766</v>
      </c>
      <c r="B130" s="21" t="s">
        <v>577</v>
      </c>
      <c r="C130" s="21"/>
      <c r="D130" s="21"/>
    </row>
    <row r="131" spans="1:4" x14ac:dyDescent="0.2">
      <c r="A131" s="21" t="s">
        <v>1767</v>
      </c>
      <c r="B131" s="21" t="s">
        <v>579</v>
      </c>
      <c r="C131" s="21"/>
      <c r="D131" s="21"/>
    </row>
    <row r="132" spans="1:4" x14ac:dyDescent="0.2">
      <c r="A132" s="21" t="s">
        <v>1754</v>
      </c>
      <c r="B132" s="21" t="s">
        <v>655</v>
      </c>
      <c r="C132" s="21"/>
      <c r="D132" s="21"/>
    </row>
    <row r="133" spans="1:4" x14ac:dyDescent="0.2">
      <c r="A133" s="21" t="s">
        <v>2857</v>
      </c>
      <c r="B133" s="21" t="s">
        <v>597</v>
      </c>
      <c r="C133" s="21"/>
      <c r="D133" s="21"/>
    </row>
    <row r="134" spans="1:4" x14ac:dyDescent="0.2">
      <c r="A134" s="21" t="s">
        <v>1770</v>
      </c>
      <c r="B134" s="21" t="s">
        <v>561</v>
      </c>
      <c r="C134" s="21"/>
      <c r="D134" s="21"/>
    </row>
    <row r="135" spans="1:4" x14ac:dyDescent="0.2">
      <c r="A135" s="21" t="s">
        <v>1771</v>
      </c>
      <c r="B135" s="21" t="s">
        <v>563</v>
      </c>
      <c r="C135" s="21"/>
      <c r="D135" s="21"/>
    </row>
    <row r="136" spans="1:4" x14ac:dyDescent="0.2">
      <c r="A136" s="21" t="s">
        <v>2858</v>
      </c>
      <c r="B136" s="21" t="s">
        <v>567</v>
      </c>
      <c r="C136" s="21"/>
      <c r="D136" s="21"/>
    </row>
    <row r="137" spans="1:4" x14ac:dyDescent="0.2">
      <c r="A137" s="21" t="s">
        <v>2859</v>
      </c>
      <c r="B137" s="21" t="s">
        <v>595</v>
      </c>
      <c r="C137" s="21"/>
      <c r="D137" s="21"/>
    </row>
    <row r="138" spans="1:4" x14ac:dyDescent="0.2">
      <c r="A138" s="21" t="s">
        <v>2860</v>
      </c>
      <c r="B138" s="21" t="s">
        <v>557</v>
      </c>
      <c r="C138" s="21"/>
      <c r="D138" s="153"/>
    </row>
    <row r="139" spans="1:4" x14ac:dyDescent="0.2">
      <c r="A139" s="21" t="s">
        <v>2861</v>
      </c>
      <c r="B139" s="21" t="s">
        <v>575</v>
      </c>
      <c r="C139" s="21"/>
      <c r="D139" s="21"/>
    </row>
    <row r="140" spans="1:4" x14ac:dyDescent="0.2">
      <c r="A140" s="21" t="s">
        <v>2862</v>
      </c>
      <c r="B140" s="21" t="s">
        <v>571</v>
      </c>
      <c r="C140" s="21"/>
      <c r="D140" s="21"/>
    </row>
    <row r="141" spans="1:4" x14ac:dyDescent="0.2">
      <c r="A141" s="21" t="s">
        <v>2812</v>
      </c>
      <c r="B141" s="21" t="s">
        <v>2863</v>
      </c>
      <c r="C141" s="21"/>
      <c r="D141" s="21"/>
    </row>
    <row r="142" spans="1:4" x14ac:dyDescent="0.2">
      <c r="A142" s="21" t="s">
        <v>2864</v>
      </c>
      <c r="B142" s="21" t="s">
        <v>2865</v>
      </c>
      <c r="C142" s="153"/>
      <c r="D142" s="21"/>
    </row>
    <row r="143" spans="1:4" x14ac:dyDescent="0.2">
      <c r="A143" s="21" t="s">
        <v>2866</v>
      </c>
      <c r="B143" s="21" t="s">
        <v>2867</v>
      </c>
      <c r="C143" s="21"/>
      <c r="D143" s="21"/>
    </row>
    <row r="144" spans="1:4" x14ac:dyDescent="0.2">
      <c r="A144" s="21" t="s">
        <v>1781</v>
      </c>
      <c r="B144" s="21" t="s">
        <v>2868</v>
      </c>
      <c r="C144" s="21"/>
      <c r="D144" s="21"/>
    </row>
    <row r="145" spans="1:4" x14ac:dyDescent="0.2">
      <c r="A145" s="21" t="s">
        <v>2869</v>
      </c>
      <c r="B145" s="21" t="s">
        <v>2870</v>
      </c>
      <c r="C145" s="21"/>
      <c r="D145" s="21"/>
    </row>
    <row r="146" spans="1:4" x14ac:dyDescent="0.2">
      <c r="A146" s="21" t="s">
        <v>2871</v>
      </c>
      <c r="B146" s="21" t="s">
        <v>2872</v>
      </c>
      <c r="C146" s="21"/>
      <c r="D146" s="21"/>
    </row>
    <row r="147" spans="1:4" x14ac:dyDescent="0.2">
      <c r="A147" s="21" t="s">
        <v>2873</v>
      </c>
      <c r="B147" s="21" t="s">
        <v>2874</v>
      </c>
      <c r="C147" s="21"/>
      <c r="D147" s="21"/>
    </row>
    <row r="148" spans="1:4" x14ac:dyDescent="0.2">
      <c r="A148" s="21" t="s">
        <v>2875</v>
      </c>
      <c r="B148" s="21" t="s">
        <v>2876</v>
      </c>
      <c r="C148" s="21"/>
      <c r="D148" s="21"/>
    </row>
    <row r="149" spans="1:4" x14ac:dyDescent="0.2">
      <c r="A149" s="21" t="s">
        <v>2877</v>
      </c>
      <c r="B149" s="21" t="s">
        <v>583</v>
      </c>
      <c r="C149" s="153"/>
      <c r="D149" s="21"/>
    </row>
    <row r="150" spans="1:4" x14ac:dyDescent="0.2">
      <c r="A150" s="21" t="s">
        <v>2878</v>
      </c>
      <c r="B150" s="21" t="s">
        <v>581</v>
      </c>
      <c r="C150" s="153"/>
      <c r="D150" s="2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8"/>
  <sheetViews>
    <sheetView workbookViewId="0">
      <pane ySplit="3" topLeftCell="A4" activePane="bottomLeft" state="frozen"/>
      <selection pane="bottomLeft" activeCell="A4" sqref="A4"/>
    </sheetView>
  </sheetViews>
  <sheetFormatPr baseColWidth="10" defaultRowHeight="12.75" x14ac:dyDescent="0.2"/>
  <cols>
    <col min="1" max="1" width="6.5703125" style="3" customWidth="1"/>
    <col min="2" max="2" width="17.5703125" style="3" customWidth="1"/>
    <col min="3" max="8" width="11.42578125" style="3"/>
    <col min="9" max="9" width="14.85546875" style="3" customWidth="1"/>
  </cols>
  <sheetData>
    <row r="1" spans="1:9" ht="15" x14ac:dyDescent="0.25">
      <c r="A1" s="28" t="s">
        <v>2</v>
      </c>
      <c r="B1" s="9" t="s">
        <v>1814</v>
      </c>
      <c r="C1" s="14"/>
      <c r="D1" s="10"/>
      <c r="E1" s="10"/>
      <c r="F1" s="10"/>
      <c r="G1" s="10"/>
      <c r="H1" s="10"/>
      <c r="I1" s="10"/>
    </row>
    <row r="2" spans="1:9" ht="15" x14ac:dyDescent="0.25">
      <c r="A2" s="28" t="s">
        <v>3</v>
      </c>
      <c r="B2" s="11">
        <v>43133</v>
      </c>
      <c r="C2" s="14" t="s">
        <v>4</v>
      </c>
      <c r="D2" s="10" t="s">
        <v>3497</v>
      </c>
      <c r="E2" s="28" t="s">
        <v>42</v>
      </c>
      <c r="F2" s="11">
        <v>43500</v>
      </c>
      <c r="G2" s="10"/>
      <c r="H2" s="10"/>
      <c r="I2" s="10"/>
    </row>
    <row r="3" spans="1:9" ht="15" x14ac:dyDescent="0.25">
      <c r="A3" s="29" t="s">
        <v>5</v>
      </c>
      <c r="B3" s="12" t="s">
        <v>12</v>
      </c>
      <c r="C3" s="15"/>
      <c r="D3" s="13"/>
      <c r="E3" s="13"/>
      <c r="F3" s="13"/>
      <c r="G3" s="13"/>
      <c r="H3" s="13"/>
      <c r="I3" s="13"/>
    </row>
    <row r="4" spans="1:9" x14ac:dyDescent="0.2">
      <c r="A4" s="5"/>
      <c r="B4" s="5"/>
      <c r="C4" s="5"/>
      <c r="D4" s="5"/>
      <c r="E4" s="5"/>
      <c r="F4" s="5"/>
      <c r="G4" s="5"/>
      <c r="H4" s="5"/>
      <c r="I4" s="5"/>
    </row>
    <row r="5" spans="1:9" x14ac:dyDescent="0.2">
      <c r="A5" s="5"/>
      <c r="B5" s="1" t="s">
        <v>1815</v>
      </c>
      <c r="C5" s="5"/>
      <c r="D5" s="5"/>
      <c r="E5" s="5"/>
      <c r="F5" s="5"/>
      <c r="G5" s="5"/>
      <c r="H5" s="5"/>
      <c r="I5" s="20"/>
    </row>
    <row r="6" spans="1:9" x14ac:dyDescent="0.2">
      <c r="A6" s="5"/>
      <c r="B6" s="1"/>
      <c r="C6" s="5"/>
      <c r="D6" s="5"/>
      <c r="E6" s="5"/>
      <c r="F6" s="5"/>
      <c r="G6" s="5"/>
      <c r="H6" s="5"/>
      <c r="I6" s="20"/>
    </row>
    <row r="7" spans="1:9" s="21" customFormat="1" x14ac:dyDescent="0.2">
      <c r="A7" s="5"/>
      <c r="B7" s="27" t="s">
        <v>3492</v>
      </c>
      <c r="C7" s="5"/>
      <c r="D7" s="5"/>
      <c r="E7" s="5"/>
      <c r="F7" s="5"/>
      <c r="G7" s="5"/>
      <c r="H7" s="5"/>
      <c r="I7" s="20"/>
    </row>
    <row r="8" spans="1:9" s="21" customFormat="1" x14ac:dyDescent="0.2">
      <c r="A8" s="5"/>
      <c r="B8" s="1" t="s">
        <v>3448</v>
      </c>
      <c r="C8" s="5"/>
      <c r="D8" s="5"/>
      <c r="E8" s="5"/>
      <c r="F8" s="5"/>
      <c r="G8" s="5"/>
      <c r="H8" s="5"/>
      <c r="I8" s="20"/>
    </row>
    <row r="9" spans="1:9" s="21" customFormat="1" x14ac:dyDescent="0.2">
      <c r="A9" s="5"/>
      <c r="B9" s="206" t="s">
        <v>3489</v>
      </c>
      <c r="C9" s="5"/>
      <c r="D9" s="5"/>
      <c r="E9" s="5"/>
      <c r="F9" s="5"/>
      <c r="G9" s="5"/>
      <c r="H9" s="5"/>
      <c r="I9" s="20"/>
    </row>
    <row r="10" spans="1:9" s="21" customFormat="1" x14ac:dyDescent="0.2">
      <c r="A10" s="5"/>
      <c r="B10" s="1" t="s">
        <v>3490</v>
      </c>
      <c r="C10" s="5"/>
      <c r="D10" s="5"/>
      <c r="E10" s="5"/>
      <c r="F10" s="5"/>
      <c r="G10" s="5"/>
      <c r="H10" s="5"/>
      <c r="I10" s="20"/>
    </row>
    <row r="11" spans="1:9" s="21" customFormat="1" x14ac:dyDescent="0.2">
      <c r="A11" s="5"/>
      <c r="B11" s="1" t="s">
        <v>3491</v>
      </c>
      <c r="C11" s="5"/>
      <c r="D11" s="5"/>
      <c r="E11" s="5"/>
      <c r="F11" s="5"/>
      <c r="G11" s="5"/>
      <c r="H11" s="5"/>
      <c r="I11" s="20"/>
    </row>
    <row r="12" spans="1:9" s="4" customFormat="1" x14ac:dyDescent="0.2">
      <c r="A12" s="5"/>
      <c r="B12" s="16"/>
      <c r="C12" s="5"/>
      <c r="D12" s="5"/>
      <c r="E12" s="5"/>
      <c r="F12" s="5"/>
      <c r="G12" s="5"/>
      <c r="H12" s="5"/>
      <c r="I12" s="20"/>
    </row>
    <row r="13" spans="1:9" s="4" customFormat="1" x14ac:dyDescent="0.2">
      <c r="A13" s="5"/>
      <c r="B13" s="30" t="s">
        <v>1817</v>
      </c>
      <c r="C13" s="5"/>
      <c r="D13" s="5"/>
      <c r="E13" s="5"/>
      <c r="F13" s="5"/>
      <c r="G13" s="5"/>
      <c r="H13" s="5"/>
      <c r="I13" s="20"/>
    </row>
    <row r="14" spans="1:9" x14ac:dyDescent="0.2">
      <c r="A14" s="5"/>
      <c r="B14" s="17" t="s">
        <v>46</v>
      </c>
      <c r="C14" s="5"/>
      <c r="D14" s="5"/>
      <c r="E14" s="5"/>
      <c r="F14" s="5"/>
      <c r="G14" s="5"/>
      <c r="H14" s="5"/>
      <c r="I14" s="20"/>
    </row>
    <row r="15" spans="1:9" s="4" customFormat="1" x14ac:dyDescent="0.2">
      <c r="A15" s="5"/>
      <c r="B15" s="17" t="s">
        <v>47</v>
      </c>
      <c r="C15" s="5"/>
      <c r="D15" s="5"/>
      <c r="E15" s="5"/>
      <c r="F15" s="5"/>
      <c r="G15" s="5"/>
      <c r="H15" s="5"/>
      <c r="I15" s="20"/>
    </row>
    <row r="16" spans="1:9" s="6" customFormat="1" x14ac:dyDescent="0.2">
      <c r="A16" s="5"/>
      <c r="B16" s="18" t="s">
        <v>6</v>
      </c>
      <c r="C16" s="5"/>
      <c r="D16" s="5"/>
      <c r="E16" s="5"/>
      <c r="F16" s="5"/>
      <c r="G16" s="5"/>
      <c r="H16" s="5"/>
      <c r="I16" s="20"/>
    </row>
    <row r="17" spans="1:9" s="6" customFormat="1" x14ac:dyDescent="0.2">
      <c r="A17" s="5"/>
      <c r="B17" s="19" t="s">
        <v>48</v>
      </c>
      <c r="C17" s="5"/>
      <c r="D17" s="5"/>
      <c r="E17" s="5"/>
      <c r="F17" s="5"/>
      <c r="G17" s="5"/>
      <c r="H17" s="5"/>
      <c r="I17" s="20"/>
    </row>
    <row r="18" spans="1:9" s="6" customFormat="1" x14ac:dyDescent="0.2">
      <c r="A18" s="5"/>
      <c r="B18" s="19"/>
      <c r="C18" s="5"/>
      <c r="D18" s="5"/>
      <c r="E18" s="5"/>
      <c r="F18" s="5"/>
      <c r="G18" s="5"/>
      <c r="H18" s="5"/>
      <c r="I18" s="20"/>
    </row>
    <row r="19" spans="1:9" s="6" customFormat="1" x14ac:dyDescent="0.2">
      <c r="A19" s="31"/>
      <c r="B19" s="32" t="s">
        <v>49</v>
      </c>
      <c r="C19" s="31"/>
      <c r="D19" s="31"/>
      <c r="E19" s="31"/>
      <c r="F19" s="31"/>
      <c r="G19" s="31"/>
      <c r="H19" s="31"/>
      <c r="I19" s="33"/>
    </row>
    <row r="20" spans="1:9" x14ac:dyDescent="0.2">
      <c r="A20" s="5"/>
      <c r="B20" s="27" t="s">
        <v>3493</v>
      </c>
      <c r="C20" s="5"/>
      <c r="D20" s="5"/>
      <c r="E20" s="5"/>
      <c r="F20" s="5"/>
      <c r="G20" s="5"/>
      <c r="H20" s="5"/>
      <c r="I20" s="20"/>
    </row>
    <row r="21" spans="1:9" x14ac:dyDescent="0.2">
      <c r="A21" s="5"/>
      <c r="B21" s="16" t="s">
        <v>1816</v>
      </c>
      <c r="C21" s="5"/>
      <c r="D21" s="5"/>
      <c r="E21" s="5"/>
      <c r="F21" s="5"/>
      <c r="G21" s="5"/>
      <c r="H21" s="5"/>
      <c r="I21" s="20"/>
    </row>
    <row r="22" spans="1:9" x14ac:dyDescent="0.2">
      <c r="A22" s="5"/>
      <c r="B22" s="16" t="s">
        <v>43</v>
      </c>
      <c r="C22" s="5"/>
      <c r="D22" s="5"/>
      <c r="E22" s="5"/>
      <c r="F22" s="5"/>
      <c r="G22" s="5"/>
      <c r="H22" s="5"/>
      <c r="I22" s="20"/>
    </row>
    <row r="23" spans="1:9" x14ac:dyDescent="0.2">
      <c r="A23" s="5"/>
      <c r="B23" s="18" t="s">
        <v>6</v>
      </c>
      <c r="C23" s="5"/>
      <c r="D23" s="5"/>
      <c r="E23" s="5"/>
      <c r="F23" s="5"/>
      <c r="G23" s="5"/>
      <c r="H23" s="5"/>
      <c r="I23" s="20"/>
    </row>
    <row r="24" spans="1:9" x14ac:dyDescent="0.2">
      <c r="A24" s="5"/>
      <c r="B24" s="19" t="s">
        <v>44</v>
      </c>
      <c r="C24" s="5"/>
      <c r="D24" s="5"/>
      <c r="E24" s="5"/>
      <c r="F24" s="5"/>
      <c r="G24" s="5"/>
      <c r="H24" s="5"/>
      <c r="I24" s="20"/>
    </row>
    <row r="25" spans="1:9" x14ac:dyDescent="0.2">
      <c r="A25" s="5"/>
      <c r="B25" s="19" t="s">
        <v>45</v>
      </c>
      <c r="C25" s="5"/>
      <c r="D25" s="5"/>
      <c r="E25" s="5"/>
      <c r="F25" s="5"/>
      <c r="G25" s="5"/>
      <c r="H25" s="5"/>
      <c r="I25" s="20"/>
    </row>
    <row r="26" spans="1:9" s="6" customFormat="1" x14ac:dyDescent="0.2">
      <c r="A26" s="5"/>
      <c r="B26" s="19"/>
      <c r="C26" s="5"/>
      <c r="D26" s="5"/>
      <c r="E26" s="5"/>
      <c r="F26" s="5"/>
      <c r="G26" s="5"/>
      <c r="H26" s="5"/>
      <c r="I26" s="20"/>
    </row>
    <row r="27" spans="1:9" s="6" customFormat="1" x14ac:dyDescent="0.2">
      <c r="A27" s="5"/>
      <c r="B27" s="30" t="s">
        <v>3494</v>
      </c>
      <c r="C27" s="5"/>
      <c r="D27" s="5"/>
      <c r="E27" s="5"/>
      <c r="F27" s="5"/>
      <c r="G27" s="5"/>
      <c r="H27" s="5"/>
      <c r="I27" s="20"/>
    </row>
    <row r="28" spans="1:9" s="6" customFormat="1" x14ac:dyDescent="0.2">
      <c r="A28" s="5"/>
      <c r="B28" s="16" t="s">
        <v>50</v>
      </c>
      <c r="C28" s="5"/>
      <c r="D28" s="5"/>
      <c r="E28" s="5"/>
      <c r="F28" s="5"/>
      <c r="G28" s="5"/>
      <c r="H28" s="5"/>
      <c r="I28" s="20"/>
    </row>
    <row r="29" spans="1:9" s="6" customFormat="1" x14ac:dyDescent="0.2">
      <c r="A29" s="5"/>
      <c r="B29" s="17" t="s">
        <v>51</v>
      </c>
      <c r="C29" s="5"/>
      <c r="D29" s="5"/>
      <c r="E29" s="5"/>
      <c r="F29" s="5"/>
      <c r="G29" s="5"/>
      <c r="H29" s="5"/>
      <c r="I29" s="20"/>
    </row>
    <row r="30" spans="1:9" s="21" customFormat="1" x14ac:dyDescent="0.2">
      <c r="A30" s="5"/>
      <c r="B30" s="19" t="s">
        <v>52</v>
      </c>
      <c r="C30" s="5"/>
      <c r="D30" s="5"/>
      <c r="E30" s="5"/>
      <c r="F30" s="5"/>
      <c r="G30" s="5"/>
      <c r="H30" s="5"/>
      <c r="I30" s="20"/>
    </row>
    <row r="31" spans="1:9" s="6" customFormat="1" x14ac:dyDescent="0.2">
      <c r="A31" s="5"/>
      <c r="B31" s="19" t="s">
        <v>53</v>
      </c>
      <c r="C31" s="5"/>
      <c r="D31" s="5"/>
      <c r="E31" s="5"/>
      <c r="F31" s="5"/>
      <c r="G31" s="5"/>
      <c r="H31" s="5"/>
      <c r="I31" s="20"/>
    </row>
    <row r="32" spans="1:9" x14ac:dyDescent="0.2">
      <c r="A32" s="5"/>
      <c r="B32" s="19" t="s">
        <v>54</v>
      </c>
      <c r="C32" s="5"/>
      <c r="D32" s="5"/>
      <c r="E32" s="5"/>
      <c r="F32" s="5"/>
      <c r="G32" s="5"/>
      <c r="H32" s="5"/>
      <c r="I32" s="20"/>
    </row>
    <row r="33" spans="1:10" x14ac:dyDescent="0.2">
      <c r="A33" s="5"/>
      <c r="B33" s="19" t="s">
        <v>55</v>
      </c>
      <c r="C33" s="5"/>
      <c r="D33" s="5"/>
      <c r="E33" s="5"/>
      <c r="F33" s="5"/>
      <c r="G33" s="5"/>
      <c r="H33" s="5"/>
      <c r="I33" s="20"/>
    </row>
    <row r="34" spans="1:10" s="21" customFormat="1" x14ac:dyDescent="0.2">
      <c r="A34" s="5"/>
      <c r="B34" s="19" t="s">
        <v>56</v>
      </c>
      <c r="C34" s="5"/>
      <c r="D34" s="5"/>
      <c r="E34" s="5"/>
      <c r="F34" s="5"/>
      <c r="G34" s="5"/>
      <c r="H34" s="5"/>
      <c r="I34" s="20"/>
    </row>
    <row r="35" spans="1:10" x14ac:dyDescent="0.2">
      <c r="A35" s="5"/>
      <c r="B35" s="17" t="s">
        <v>57</v>
      </c>
      <c r="C35" s="5"/>
      <c r="D35" s="5"/>
      <c r="E35" s="5"/>
      <c r="F35" s="5"/>
      <c r="G35" s="5"/>
      <c r="H35" s="5"/>
      <c r="I35" s="20"/>
    </row>
    <row r="36" spans="1:10" s="21" customFormat="1" x14ac:dyDescent="0.2">
      <c r="A36" s="5"/>
      <c r="B36" s="19" t="s">
        <v>58</v>
      </c>
      <c r="C36" s="5"/>
      <c r="D36" s="5"/>
      <c r="E36" s="5"/>
      <c r="F36" s="5"/>
      <c r="G36" s="5"/>
      <c r="H36" s="5"/>
      <c r="I36" s="20"/>
    </row>
    <row r="37" spans="1:10" s="21" customFormat="1" x14ac:dyDescent="0.2">
      <c r="A37" s="5"/>
      <c r="B37" s="19" t="s">
        <v>59</v>
      </c>
      <c r="C37" s="5"/>
      <c r="D37" s="5"/>
      <c r="E37" s="5"/>
      <c r="F37" s="5"/>
      <c r="G37" s="5"/>
      <c r="H37" s="5"/>
      <c r="I37" s="20"/>
    </row>
    <row r="38" spans="1:10" s="21" customFormat="1" x14ac:dyDescent="0.2">
      <c r="A38" s="5"/>
      <c r="B38" s="19" t="s">
        <v>60</v>
      </c>
      <c r="C38" s="5"/>
      <c r="D38" s="5"/>
      <c r="E38" s="5"/>
      <c r="F38" s="5"/>
      <c r="G38" s="5"/>
      <c r="H38" s="5"/>
      <c r="I38" s="20"/>
    </row>
    <row r="39" spans="1:10" s="21" customFormat="1" x14ac:dyDescent="0.2">
      <c r="A39" s="5"/>
      <c r="B39" s="19"/>
      <c r="C39" s="5"/>
      <c r="D39" s="5"/>
      <c r="E39" s="5"/>
      <c r="F39" s="5"/>
      <c r="G39" s="5"/>
      <c r="H39" s="5"/>
      <c r="I39" s="20"/>
    </row>
    <row r="40" spans="1:10" x14ac:dyDescent="0.2">
      <c r="A40" s="5"/>
      <c r="B40" s="5"/>
      <c r="C40" s="5"/>
      <c r="D40" s="5"/>
      <c r="E40" s="5"/>
      <c r="F40" s="5"/>
      <c r="G40" s="5"/>
      <c r="H40" s="5"/>
      <c r="I40" s="5"/>
    </row>
    <row r="41" spans="1:10" x14ac:dyDescent="0.2">
      <c r="A41" s="5"/>
      <c r="B41" s="5"/>
      <c r="C41" s="5"/>
      <c r="D41" s="5"/>
      <c r="E41" s="5"/>
      <c r="F41" s="5"/>
      <c r="G41" s="5"/>
      <c r="H41" s="5"/>
      <c r="I41" s="5"/>
    </row>
    <row r="42" spans="1:10" x14ac:dyDescent="0.2">
      <c r="B42" s="5"/>
    </row>
    <row r="43" spans="1:10" s="21" customForma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 x14ac:dyDescent="0.2">
      <c r="B44" s="2" t="s">
        <v>9</v>
      </c>
    </row>
    <row r="45" spans="1:10" x14ac:dyDescent="0.2">
      <c r="B45" s="24" t="s">
        <v>10</v>
      </c>
      <c r="C45" s="25">
        <v>42270</v>
      </c>
      <c r="D45" s="5" t="s">
        <v>11</v>
      </c>
    </row>
    <row r="46" spans="1:10" x14ac:dyDescent="0.2">
      <c r="B46" s="24" t="s">
        <v>3495</v>
      </c>
      <c r="C46" s="25">
        <v>43500</v>
      </c>
      <c r="D46" s="5" t="s">
        <v>3496</v>
      </c>
    </row>
    <row r="47" spans="1:10" x14ac:dyDescent="0.2">
      <c r="B47" s="24"/>
      <c r="C47" s="25"/>
    </row>
    <row r="48" spans="1:10" x14ac:dyDescent="0.2">
      <c r="B48" s="24"/>
      <c r="C48" s="25"/>
    </row>
  </sheetData>
  <hyperlinks>
    <hyperlink ref="B33" location="Benchmark!A1" display="4 - Afficher le Benchmark d'une entreprise face à votre liste" xr:uid="{00000000-0004-0000-0500-000000000000}"/>
    <hyperlink ref="B39" location="Comparaison!A1" display="5 - Comparer deux entreprises" xr:uid="{00000000-0004-0000-0500-000001000000}"/>
    <hyperlink ref="B9" r:id="rId1" xr:uid="{69EE9D2A-651B-40E6-9809-5C4D74F9946D}"/>
  </hyperlinks>
  <pageMargins left="0.25" right="0.25" top="0.75" bottom="0.75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16"/>
  <sheetViews>
    <sheetView topLeftCell="A372" workbookViewId="0">
      <selection activeCell="E157" sqref="E157:E416"/>
    </sheetView>
  </sheetViews>
  <sheetFormatPr baseColWidth="10" defaultRowHeight="12.75" x14ac:dyDescent="0.2"/>
  <cols>
    <col min="7" max="7" width="16.28515625" bestFit="1" customWidth="1"/>
  </cols>
  <sheetData>
    <row r="1" spans="1:8" x14ac:dyDescent="0.2">
      <c r="A1" t="s">
        <v>40</v>
      </c>
      <c r="B1" s="21" t="s">
        <v>15</v>
      </c>
      <c r="D1">
        <v>1</v>
      </c>
      <c r="E1" t="str">
        <f>A1&amp;B1&amp;C1&amp;D1</f>
        <v>Liste!A1</v>
      </c>
      <c r="F1">
        <v>1</v>
      </c>
      <c r="G1" t="s">
        <v>41</v>
      </c>
      <c r="H1" t="str">
        <f>G1&amp;F1&amp;")"</f>
        <v>INDEX(Liste;$E$2;1)</v>
      </c>
    </row>
    <row r="2" spans="1:8" x14ac:dyDescent="0.2">
      <c r="A2" s="21" t="s">
        <v>40</v>
      </c>
      <c r="B2" s="21" t="s">
        <v>16</v>
      </c>
      <c r="D2" s="21">
        <v>1</v>
      </c>
      <c r="E2" s="21" t="str">
        <f t="shared" ref="E2:E65" si="0">A2&amp;B2&amp;C2&amp;D2</f>
        <v>Liste!B1</v>
      </c>
      <c r="F2">
        <v>2</v>
      </c>
      <c r="G2" s="21" t="s">
        <v>41</v>
      </c>
      <c r="H2" s="21" t="str">
        <f>G2&amp;F2&amp;")"</f>
        <v>INDEX(Liste;$E$2;2)</v>
      </c>
    </row>
    <row r="3" spans="1:8" s="21" customFormat="1" x14ac:dyDescent="0.2">
      <c r="A3" s="21" t="s">
        <v>40</v>
      </c>
      <c r="B3" s="21" t="s">
        <v>17</v>
      </c>
      <c r="D3" s="21">
        <v>1</v>
      </c>
      <c r="E3" s="21" t="str">
        <f t="shared" si="0"/>
        <v>Liste!C1</v>
      </c>
      <c r="F3" s="21">
        <v>3</v>
      </c>
      <c r="G3" s="21" t="s">
        <v>41</v>
      </c>
      <c r="H3" s="21" t="str">
        <f t="shared" ref="H3:H66" si="1">G3&amp;F3&amp;")"</f>
        <v>INDEX(Liste;$E$2;3)</v>
      </c>
    </row>
    <row r="4" spans="1:8" x14ac:dyDescent="0.2">
      <c r="A4" s="21" t="s">
        <v>40</v>
      </c>
      <c r="B4" s="21" t="s">
        <v>18</v>
      </c>
      <c r="D4" s="21">
        <v>1</v>
      </c>
      <c r="E4" s="21" t="str">
        <f t="shared" si="0"/>
        <v>Liste!D1</v>
      </c>
      <c r="F4" s="21">
        <v>4</v>
      </c>
      <c r="G4" s="21" t="s">
        <v>41</v>
      </c>
      <c r="H4" s="21" t="str">
        <f t="shared" si="1"/>
        <v>INDEX(Liste;$E$2;4)</v>
      </c>
    </row>
    <row r="5" spans="1:8" x14ac:dyDescent="0.2">
      <c r="A5" s="21" t="s">
        <v>40</v>
      </c>
      <c r="B5" s="21" t="s">
        <v>19</v>
      </c>
      <c r="D5" s="21">
        <v>1</v>
      </c>
      <c r="E5" s="21" t="str">
        <f t="shared" si="0"/>
        <v>Liste!E1</v>
      </c>
      <c r="F5" s="21">
        <v>5</v>
      </c>
      <c r="G5" s="21" t="s">
        <v>41</v>
      </c>
      <c r="H5" s="21" t="str">
        <f t="shared" si="1"/>
        <v>INDEX(Liste;$E$2;5)</v>
      </c>
    </row>
    <row r="6" spans="1:8" x14ac:dyDescent="0.2">
      <c r="A6" s="21" t="s">
        <v>40</v>
      </c>
      <c r="B6" s="21" t="s">
        <v>20</v>
      </c>
      <c r="D6" s="21">
        <v>1</v>
      </c>
      <c r="E6" s="21" t="str">
        <f t="shared" si="0"/>
        <v>Liste!F1</v>
      </c>
      <c r="F6" s="21">
        <v>6</v>
      </c>
      <c r="G6" s="21" t="s">
        <v>41</v>
      </c>
      <c r="H6" s="21" t="str">
        <f t="shared" si="1"/>
        <v>INDEX(Liste;$E$2;6)</v>
      </c>
    </row>
    <row r="7" spans="1:8" x14ac:dyDescent="0.2">
      <c r="A7" s="21" t="s">
        <v>40</v>
      </c>
      <c r="B7" s="21" t="s">
        <v>21</v>
      </c>
      <c r="D7" s="21">
        <v>1</v>
      </c>
      <c r="E7" s="21" t="str">
        <f t="shared" si="0"/>
        <v>Liste!G1</v>
      </c>
      <c r="F7" s="21">
        <v>7</v>
      </c>
      <c r="G7" s="21" t="s">
        <v>41</v>
      </c>
      <c r="H7" s="21" t="str">
        <f t="shared" si="1"/>
        <v>INDEX(Liste;$E$2;7)</v>
      </c>
    </row>
    <row r="8" spans="1:8" x14ac:dyDescent="0.2">
      <c r="A8" s="21" t="s">
        <v>40</v>
      </c>
      <c r="B8" s="21" t="s">
        <v>22</v>
      </c>
      <c r="D8" s="21">
        <v>1</v>
      </c>
      <c r="E8" s="21" t="str">
        <f t="shared" si="0"/>
        <v>Liste!H1</v>
      </c>
      <c r="F8" s="21">
        <v>8</v>
      </c>
      <c r="G8" s="21" t="s">
        <v>41</v>
      </c>
      <c r="H8" s="21" t="str">
        <f t="shared" si="1"/>
        <v>INDEX(Liste;$E$2;8)</v>
      </c>
    </row>
    <row r="9" spans="1:8" x14ac:dyDescent="0.2">
      <c r="A9" s="21" t="s">
        <v>40</v>
      </c>
      <c r="B9" s="21" t="s">
        <v>23</v>
      </c>
      <c r="D9" s="21">
        <v>1</v>
      </c>
      <c r="E9" s="21" t="str">
        <f t="shared" si="0"/>
        <v>Liste!I1</v>
      </c>
      <c r="F9" s="21">
        <v>9</v>
      </c>
      <c r="G9" s="21" t="s">
        <v>41</v>
      </c>
      <c r="H9" s="21" t="str">
        <f t="shared" si="1"/>
        <v>INDEX(Liste;$E$2;9)</v>
      </c>
    </row>
    <row r="10" spans="1:8" x14ac:dyDescent="0.2">
      <c r="A10" s="21" t="s">
        <v>40</v>
      </c>
      <c r="B10" s="21" t="s">
        <v>24</v>
      </c>
      <c r="D10" s="21">
        <v>1</v>
      </c>
      <c r="E10" s="21" t="str">
        <f t="shared" si="0"/>
        <v>Liste!J1</v>
      </c>
      <c r="F10" s="21">
        <v>10</v>
      </c>
      <c r="G10" s="21" t="s">
        <v>41</v>
      </c>
      <c r="H10" s="21" t="str">
        <f t="shared" si="1"/>
        <v>INDEX(Liste;$E$2;10)</v>
      </c>
    </row>
    <row r="11" spans="1:8" x14ac:dyDescent="0.2">
      <c r="A11" s="21" t="s">
        <v>40</v>
      </c>
      <c r="B11" s="21" t="s">
        <v>25</v>
      </c>
      <c r="D11" s="21">
        <v>1</v>
      </c>
      <c r="E11" s="21" t="str">
        <f t="shared" si="0"/>
        <v>Liste!K1</v>
      </c>
      <c r="F11" s="21">
        <v>11</v>
      </c>
      <c r="G11" s="21" t="s">
        <v>41</v>
      </c>
      <c r="H11" s="21" t="str">
        <f t="shared" si="1"/>
        <v>INDEX(Liste;$E$2;11)</v>
      </c>
    </row>
    <row r="12" spans="1:8" x14ac:dyDescent="0.2">
      <c r="A12" s="21" t="s">
        <v>40</v>
      </c>
      <c r="B12" s="21" t="s">
        <v>26</v>
      </c>
      <c r="D12" s="21">
        <v>1</v>
      </c>
      <c r="E12" s="21" t="str">
        <f t="shared" si="0"/>
        <v>Liste!L1</v>
      </c>
      <c r="F12" s="21">
        <v>12</v>
      </c>
      <c r="G12" s="21" t="s">
        <v>41</v>
      </c>
      <c r="H12" s="21" t="str">
        <f t="shared" si="1"/>
        <v>INDEX(Liste;$E$2;12)</v>
      </c>
    </row>
    <row r="13" spans="1:8" x14ac:dyDescent="0.2">
      <c r="A13" s="21" t="s">
        <v>40</v>
      </c>
      <c r="B13" s="21" t="s">
        <v>27</v>
      </c>
      <c r="D13" s="21">
        <v>1</v>
      </c>
      <c r="E13" s="21" t="str">
        <f t="shared" si="0"/>
        <v>Liste!M1</v>
      </c>
      <c r="F13" s="21">
        <v>13</v>
      </c>
      <c r="G13" s="21" t="s">
        <v>41</v>
      </c>
      <c r="H13" s="21" t="str">
        <f t="shared" si="1"/>
        <v>INDEX(Liste;$E$2;13)</v>
      </c>
    </row>
    <row r="14" spans="1:8" x14ac:dyDescent="0.2">
      <c r="A14" s="21" t="s">
        <v>40</v>
      </c>
      <c r="B14" s="21" t="s">
        <v>7</v>
      </c>
      <c r="D14" s="21">
        <v>1</v>
      </c>
      <c r="E14" s="21" t="str">
        <f t="shared" si="0"/>
        <v>Liste!N1</v>
      </c>
      <c r="F14" s="21">
        <v>14</v>
      </c>
      <c r="G14" s="21" t="s">
        <v>41</v>
      </c>
      <c r="H14" s="21" t="str">
        <f t="shared" si="1"/>
        <v>INDEX(Liste;$E$2;14)</v>
      </c>
    </row>
    <row r="15" spans="1:8" x14ac:dyDescent="0.2">
      <c r="A15" s="21" t="s">
        <v>40</v>
      </c>
      <c r="B15" s="21" t="s">
        <v>28</v>
      </c>
      <c r="D15" s="21">
        <v>1</v>
      </c>
      <c r="E15" s="21" t="str">
        <f t="shared" si="0"/>
        <v>Liste!O1</v>
      </c>
      <c r="F15" s="21">
        <v>15</v>
      </c>
      <c r="G15" s="21" t="s">
        <v>41</v>
      </c>
      <c r="H15" s="21" t="str">
        <f t="shared" si="1"/>
        <v>INDEX(Liste;$E$2;15)</v>
      </c>
    </row>
    <row r="16" spans="1:8" x14ac:dyDescent="0.2">
      <c r="A16" s="21" t="s">
        <v>40</v>
      </c>
      <c r="B16" s="21" t="s">
        <v>29</v>
      </c>
      <c r="D16" s="21">
        <v>1</v>
      </c>
      <c r="E16" s="21" t="str">
        <f t="shared" si="0"/>
        <v>Liste!P1</v>
      </c>
      <c r="F16" s="21">
        <v>16</v>
      </c>
      <c r="G16" s="21" t="s">
        <v>41</v>
      </c>
      <c r="H16" s="21" t="str">
        <f t="shared" si="1"/>
        <v>INDEX(Liste;$E$2;16)</v>
      </c>
    </row>
    <row r="17" spans="1:8" x14ac:dyDescent="0.2">
      <c r="A17" s="21" t="s">
        <v>40</v>
      </c>
      <c r="B17" s="21" t="s">
        <v>30</v>
      </c>
      <c r="D17" s="21">
        <v>1</v>
      </c>
      <c r="E17" s="21" t="str">
        <f t="shared" si="0"/>
        <v>Liste!Q1</v>
      </c>
      <c r="F17" s="21">
        <v>17</v>
      </c>
      <c r="G17" s="21" t="s">
        <v>41</v>
      </c>
      <c r="H17" s="21" t="str">
        <f t="shared" si="1"/>
        <v>INDEX(Liste;$E$2;17)</v>
      </c>
    </row>
    <row r="18" spans="1:8" x14ac:dyDescent="0.2">
      <c r="A18" s="21" t="s">
        <v>40</v>
      </c>
      <c r="B18" s="21" t="s">
        <v>31</v>
      </c>
      <c r="D18" s="21">
        <v>1</v>
      </c>
      <c r="E18" s="21" t="str">
        <f t="shared" si="0"/>
        <v>Liste!R1</v>
      </c>
      <c r="F18" s="21">
        <v>18</v>
      </c>
      <c r="G18" s="21" t="s">
        <v>41</v>
      </c>
      <c r="H18" s="21" t="str">
        <f t="shared" si="1"/>
        <v>INDEX(Liste;$E$2;18)</v>
      </c>
    </row>
    <row r="19" spans="1:8" x14ac:dyDescent="0.2">
      <c r="A19" s="21" t="s">
        <v>40</v>
      </c>
      <c r="B19" s="21" t="s">
        <v>32</v>
      </c>
      <c r="D19" s="21">
        <v>1</v>
      </c>
      <c r="E19" s="21" t="str">
        <f t="shared" si="0"/>
        <v>Liste!S1</v>
      </c>
      <c r="F19" s="21">
        <v>19</v>
      </c>
      <c r="G19" s="21" t="s">
        <v>41</v>
      </c>
      <c r="H19" s="21" t="str">
        <f t="shared" si="1"/>
        <v>INDEX(Liste;$E$2;19)</v>
      </c>
    </row>
    <row r="20" spans="1:8" x14ac:dyDescent="0.2">
      <c r="A20" s="21" t="s">
        <v>40</v>
      </c>
      <c r="B20" s="21" t="s">
        <v>33</v>
      </c>
      <c r="D20" s="21">
        <v>1</v>
      </c>
      <c r="E20" s="21" t="str">
        <f t="shared" si="0"/>
        <v>Liste!T1</v>
      </c>
      <c r="F20" s="21">
        <v>20</v>
      </c>
      <c r="G20" s="21" t="s">
        <v>41</v>
      </c>
      <c r="H20" s="21" t="str">
        <f t="shared" si="1"/>
        <v>INDEX(Liste;$E$2;20)</v>
      </c>
    </row>
    <row r="21" spans="1:8" x14ac:dyDescent="0.2">
      <c r="A21" s="21" t="s">
        <v>40</v>
      </c>
      <c r="B21" s="21" t="s">
        <v>34</v>
      </c>
      <c r="D21" s="21">
        <v>1</v>
      </c>
      <c r="E21" s="21" t="str">
        <f t="shared" si="0"/>
        <v>Liste!U1</v>
      </c>
      <c r="F21" s="21">
        <v>21</v>
      </c>
      <c r="G21" s="21" t="s">
        <v>41</v>
      </c>
      <c r="H21" s="21" t="str">
        <f t="shared" si="1"/>
        <v>INDEX(Liste;$E$2;21)</v>
      </c>
    </row>
    <row r="22" spans="1:8" x14ac:dyDescent="0.2">
      <c r="A22" s="21" t="s">
        <v>40</v>
      </c>
      <c r="B22" s="21" t="s">
        <v>35</v>
      </c>
      <c r="D22" s="21">
        <v>1</v>
      </c>
      <c r="E22" s="21" t="str">
        <f t="shared" si="0"/>
        <v>Liste!V1</v>
      </c>
      <c r="F22" s="21">
        <v>22</v>
      </c>
      <c r="G22" s="21" t="s">
        <v>41</v>
      </c>
      <c r="H22" s="21" t="str">
        <f t="shared" si="1"/>
        <v>INDEX(Liste;$E$2;22)</v>
      </c>
    </row>
    <row r="23" spans="1:8" x14ac:dyDescent="0.2">
      <c r="A23" s="21" t="s">
        <v>40</v>
      </c>
      <c r="B23" s="21" t="s">
        <v>36</v>
      </c>
      <c r="D23" s="21">
        <v>1</v>
      </c>
      <c r="E23" s="21" t="str">
        <f t="shared" si="0"/>
        <v>Liste!W1</v>
      </c>
      <c r="F23" s="21">
        <v>23</v>
      </c>
      <c r="G23" s="21" t="s">
        <v>41</v>
      </c>
      <c r="H23" s="21" t="str">
        <f t="shared" si="1"/>
        <v>INDEX(Liste;$E$2;23)</v>
      </c>
    </row>
    <row r="24" spans="1:8" x14ac:dyDescent="0.2">
      <c r="A24" s="21" t="s">
        <v>40</v>
      </c>
      <c r="B24" s="21" t="s">
        <v>37</v>
      </c>
      <c r="D24" s="21">
        <v>1</v>
      </c>
      <c r="E24" s="21" t="str">
        <f t="shared" si="0"/>
        <v>Liste!X1</v>
      </c>
      <c r="F24" s="21">
        <v>24</v>
      </c>
      <c r="G24" s="21" t="s">
        <v>41</v>
      </c>
      <c r="H24" s="21" t="str">
        <f t="shared" si="1"/>
        <v>INDEX(Liste;$E$2;24)</v>
      </c>
    </row>
    <row r="25" spans="1:8" x14ac:dyDescent="0.2">
      <c r="A25" s="21" t="s">
        <v>40</v>
      </c>
      <c r="B25" s="21" t="s">
        <v>38</v>
      </c>
      <c r="D25" s="21">
        <v>1</v>
      </c>
      <c r="E25" s="21" t="str">
        <f t="shared" si="0"/>
        <v>Liste!Y1</v>
      </c>
      <c r="F25" s="21">
        <v>25</v>
      </c>
      <c r="G25" s="21" t="s">
        <v>41</v>
      </c>
      <c r="H25" s="21" t="str">
        <f t="shared" si="1"/>
        <v>INDEX(Liste;$E$2;25)</v>
      </c>
    </row>
    <row r="26" spans="1:8" x14ac:dyDescent="0.2">
      <c r="A26" s="21" t="s">
        <v>40</v>
      </c>
      <c r="B26" s="21" t="s">
        <v>39</v>
      </c>
      <c r="D26" s="21">
        <v>1</v>
      </c>
      <c r="E26" s="21" t="str">
        <f t="shared" si="0"/>
        <v>Liste!Z1</v>
      </c>
      <c r="F26" s="21">
        <v>26</v>
      </c>
      <c r="G26" s="21" t="s">
        <v>41</v>
      </c>
      <c r="H26" s="21" t="str">
        <f t="shared" si="1"/>
        <v>INDEX(Liste;$E$2;26)</v>
      </c>
    </row>
    <row r="27" spans="1:8" x14ac:dyDescent="0.2">
      <c r="A27" s="21" t="s">
        <v>40</v>
      </c>
      <c r="B27" s="21" t="s">
        <v>15</v>
      </c>
      <c r="C27" s="21" t="s">
        <v>15</v>
      </c>
      <c r="D27" s="21">
        <v>1</v>
      </c>
      <c r="E27" s="21" t="str">
        <f t="shared" si="0"/>
        <v>Liste!AA1</v>
      </c>
      <c r="F27" s="21">
        <v>27</v>
      </c>
      <c r="G27" s="21" t="s">
        <v>41</v>
      </c>
      <c r="H27" s="21" t="str">
        <f t="shared" si="1"/>
        <v>INDEX(Liste;$E$2;27)</v>
      </c>
    </row>
    <row r="28" spans="1:8" x14ac:dyDescent="0.2">
      <c r="A28" s="21" t="s">
        <v>40</v>
      </c>
      <c r="B28" s="21" t="s">
        <v>15</v>
      </c>
      <c r="C28" s="21" t="s">
        <v>16</v>
      </c>
      <c r="D28" s="21">
        <v>1</v>
      </c>
      <c r="E28" s="21" t="str">
        <f t="shared" si="0"/>
        <v>Liste!AB1</v>
      </c>
      <c r="F28" s="21">
        <v>28</v>
      </c>
      <c r="G28" s="21" t="s">
        <v>41</v>
      </c>
      <c r="H28" s="21" t="str">
        <f t="shared" si="1"/>
        <v>INDEX(Liste;$E$2;28)</v>
      </c>
    </row>
    <row r="29" spans="1:8" x14ac:dyDescent="0.2">
      <c r="A29" s="21" t="s">
        <v>40</v>
      </c>
      <c r="B29" s="21" t="s">
        <v>15</v>
      </c>
      <c r="C29" s="21" t="s">
        <v>17</v>
      </c>
      <c r="D29" s="21">
        <v>1</v>
      </c>
      <c r="E29" s="21" t="str">
        <f t="shared" si="0"/>
        <v>Liste!AC1</v>
      </c>
      <c r="F29" s="21">
        <v>29</v>
      </c>
      <c r="G29" s="21" t="s">
        <v>41</v>
      </c>
      <c r="H29" s="21" t="str">
        <f t="shared" si="1"/>
        <v>INDEX(Liste;$E$2;29)</v>
      </c>
    </row>
    <row r="30" spans="1:8" x14ac:dyDescent="0.2">
      <c r="A30" s="21" t="s">
        <v>40</v>
      </c>
      <c r="B30" s="21" t="s">
        <v>15</v>
      </c>
      <c r="C30" s="21" t="s">
        <v>18</v>
      </c>
      <c r="D30" s="21">
        <v>1</v>
      </c>
      <c r="E30" s="21" t="str">
        <f t="shared" si="0"/>
        <v>Liste!AD1</v>
      </c>
      <c r="F30" s="21">
        <v>30</v>
      </c>
      <c r="G30" s="21" t="s">
        <v>41</v>
      </c>
      <c r="H30" s="21" t="str">
        <f t="shared" si="1"/>
        <v>INDEX(Liste;$E$2;30)</v>
      </c>
    </row>
    <row r="31" spans="1:8" x14ac:dyDescent="0.2">
      <c r="A31" s="21" t="s">
        <v>40</v>
      </c>
      <c r="B31" s="21" t="s">
        <v>15</v>
      </c>
      <c r="C31" s="21" t="s">
        <v>19</v>
      </c>
      <c r="D31" s="21">
        <v>1</v>
      </c>
      <c r="E31" s="21" t="str">
        <f t="shared" si="0"/>
        <v>Liste!AE1</v>
      </c>
      <c r="F31" s="21">
        <v>31</v>
      </c>
      <c r="G31" s="21" t="s">
        <v>41</v>
      </c>
      <c r="H31" s="21" t="str">
        <f t="shared" si="1"/>
        <v>INDEX(Liste;$E$2;31)</v>
      </c>
    </row>
    <row r="32" spans="1:8" x14ac:dyDescent="0.2">
      <c r="A32" s="21" t="s">
        <v>40</v>
      </c>
      <c r="B32" s="21" t="s">
        <v>15</v>
      </c>
      <c r="C32" s="21" t="s">
        <v>20</v>
      </c>
      <c r="D32" s="21">
        <v>1</v>
      </c>
      <c r="E32" s="21" t="str">
        <f t="shared" si="0"/>
        <v>Liste!AF1</v>
      </c>
      <c r="F32" s="21">
        <v>32</v>
      </c>
      <c r="G32" s="21" t="s">
        <v>41</v>
      </c>
      <c r="H32" s="21" t="str">
        <f t="shared" si="1"/>
        <v>INDEX(Liste;$E$2;32)</v>
      </c>
    </row>
    <row r="33" spans="1:8" x14ac:dyDescent="0.2">
      <c r="A33" s="21" t="s">
        <v>40</v>
      </c>
      <c r="B33" s="21" t="s">
        <v>15</v>
      </c>
      <c r="C33" s="21" t="s">
        <v>21</v>
      </c>
      <c r="D33" s="21">
        <v>1</v>
      </c>
      <c r="E33" s="21" t="str">
        <f t="shared" si="0"/>
        <v>Liste!AG1</v>
      </c>
      <c r="F33" s="21">
        <v>33</v>
      </c>
      <c r="G33" s="21" t="s">
        <v>41</v>
      </c>
      <c r="H33" s="21" t="str">
        <f t="shared" si="1"/>
        <v>INDEX(Liste;$E$2;33)</v>
      </c>
    </row>
    <row r="34" spans="1:8" x14ac:dyDescent="0.2">
      <c r="A34" s="21" t="s">
        <v>40</v>
      </c>
      <c r="B34" s="21" t="s">
        <v>15</v>
      </c>
      <c r="C34" s="21" t="s">
        <v>22</v>
      </c>
      <c r="D34" s="21">
        <v>1</v>
      </c>
      <c r="E34" s="21" t="str">
        <f t="shared" si="0"/>
        <v>Liste!AH1</v>
      </c>
      <c r="F34" s="21">
        <v>34</v>
      </c>
      <c r="G34" s="21" t="s">
        <v>41</v>
      </c>
      <c r="H34" s="21" t="str">
        <f t="shared" si="1"/>
        <v>INDEX(Liste;$E$2;34)</v>
      </c>
    </row>
    <row r="35" spans="1:8" x14ac:dyDescent="0.2">
      <c r="A35" s="21" t="s">
        <v>40</v>
      </c>
      <c r="B35" s="21" t="s">
        <v>15</v>
      </c>
      <c r="C35" s="21" t="s">
        <v>23</v>
      </c>
      <c r="D35" s="21">
        <v>1</v>
      </c>
      <c r="E35" s="21" t="str">
        <f t="shared" si="0"/>
        <v>Liste!AI1</v>
      </c>
      <c r="F35" s="21">
        <v>35</v>
      </c>
      <c r="G35" s="21" t="s">
        <v>41</v>
      </c>
      <c r="H35" s="21" t="str">
        <f t="shared" si="1"/>
        <v>INDEX(Liste;$E$2;35)</v>
      </c>
    </row>
    <row r="36" spans="1:8" x14ac:dyDescent="0.2">
      <c r="A36" s="21" t="s">
        <v>40</v>
      </c>
      <c r="B36" s="21" t="s">
        <v>15</v>
      </c>
      <c r="C36" s="21" t="s">
        <v>24</v>
      </c>
      <c r="D36" s="21">
        <v>1</v>
      </c>
      <c r="E36" s="21" t="str">
        <f t="shared" si="0"/>
        <v>Liste!AJ1</v>
      </c>
      <c r="F36" s="21">
        <v>36</v>
      </c>
      <c r="G36" s="21" t="s">
        <v>41</v>
      </c>
      <c r="H36" s="21" t="str">
        <f t="shared" si="1"/>
        <v>INDEX(Liste;$E$2;36)</v>
      </c>
    </row>
    <row r="37" spans="1:8" x14ac:dyDescent="0.2">
      <c r="A37" s="21" t="s">
        <v>40</v>
      </c>
      <c r="B37" s="21" t="s">
        <v>15</v>
      </c>
      <c r="C37" s="21" t="s">
        <v>25</v>
      </c>
      <c r="D37" s="21">
        <v>1</v>
      </c>
      <c r="E37" s="21" t="str">
        <f t="shared" si="0"/>
        <v>Liste!AK1</v>
      </c>
      <c r="F37" s="21">
        <v>37</v>
      </c>
      <c r="G37" s="21" t="s">
        <v>41</v>
      </c>
      <c r="H37" s="21" t="str">
        <f t="shared" si="1"/>
        <v>INDEX(Liste;$E$2;37)</v>
      </c>
    </row>
    <row r="38" spans="1:8" x14ac:dyDescent="0.2">
      <c r="A38" s="21" t="s">
        <v>40</v>
      </c>
      <c r="B38" s="21" t="s">
        <v>15</v>
      </c>
      <c r="C38" s="21" t="s">
        <v>26</v>
      </c>
      <c r="D38" s="21">
        <v>1</v>
      </c>
      <c r="E38" s="21" t="str">
        <f t="shared" si="0"/>
        <v>Liste!AL1</v>
      </c>
      <c r="F38" s="21">
        <v>38</v>
      </c>
      <c r="G38" s="21" t="s">
        <v>41</v>
      </c>
      <c r="H38" s="21" t="str">
        <f t="shared" si="1"/>
        <v>INDEX(Liste;$E$2;38)</v>
      </c>
    </row>
    <row r="39" spans="1:8" x14ac:dyDescent="0.2">
      <c r="A39" s="21" t="s">
        <v>40</v>
      </c>
      <c r="B39" s="21" t="s">
        <v>15</v>
      </c>
      <c r="C39" s="21" t="s">
        <v>27</v>
      </c>
      <c r="D39" s="21">
        <v>1</v>
      </c>
      <c r="E39" s="21" t="str">
        <f t="shared" si="0"/>
        <v>Liste!AM1</v>
      </c>
      <c r="F39" s="21">
        <v>39</v>
      </c>
      <c r="G39" s="21" t="s">
        <v>41</v>
      </c>
      <c r="H39" s="21" t="str">
        <f t="shared" si="1"/>
        <v>INDEX(Liste;$E$2;39)</v>
      </c>
    </row>
    <row r="40" spans="1:8" x14ac:dyDescent="0.2">
      <c r="A40" s="21" t="s">
        <v>40</v>
      </c>
      <c r="B40" s="21" t="s">
        <v>15</v>
      </c>
      <c r="C40" s="21" t="s">
        <v>7</v>
      </c>
      <c r="D40" s="21">
        <v>1</v>
      </c>
      <c r="E40" s="21" t="str">
        <f t="shared" si="0"/>
        <v>Liste!AN1</v>
      </c>
      <c r="F40" s="21">
        <v>40</v>
      </c>
      <c r="G40" s="21" t="s">
        <v>41</v>
      </c>
      <c r="H40" s="21" t="str">
        <f t="shared" si="1"/>
        <v>INDEX(Liste;$E$2;40)</v>
      </c>
    </row>
    <row r="41" spans="1:8" x14ac:dyDescent="0.2">
      <c r="A41" s="21" t="s">
        <v>40</v>
      </c>
      <c r="B41" s="21" t="s">
        <v>15</v>
      </c>
      <c r="C41" s="21" t="s">
        <v>28</v>
      </c>
      <c r="D41" s="21">
        <v>1</v>
      </c>
      <c r="E41" s="21" t="str">
        <f t="shared" si="0"/>
        <v>Liste!AO1</v>
      </c>
      <c r="F41" s="21">
        <v>41</v>
      </c>
      <c r="G41" s="21" t="s">
        <v>41</v>
      </c>
      <c r="H41" s="21" t="str">
        <f t="shared" si="1"/>
        <v>INDEX(Liste;$E$2;41)</v>
      </c>
    </row>
    <row r="42" spans="1:8" x14ac:dyDescent="0.2">
      <c r="A42" s="21" t="s">
        <v>40</v>
      </c>
      <c r="B42" s="21" t="s">
        <v>15</v>
      </c>
      <c r="C42" s="21" t="s">
        <v>29</v>
      </c>
      <c r="D42" s="21">
        <v>1</v>
      </c>
      <c r="E42" s="21" t="str">
        <f t="shared" si="0"/>
        <v>Liste!AP1</v>
      </c>
      <c r="F42" s="21">
        <v>42</v>
      </c>
      <c r="G42" s="21" t="s">
        <v>41</v>
      </c>
      <c r="H42" s="21" t="str">
        <f t="shared" si="1"/>
        <v>INDEX(Liste;$E$2;42)</v>
      </c>
    </row>
    <row r="43" spans="1:8" x14ac:dyDescent="0.2">
      <c r="A43" s="21" t="s">
        <v>40</v>
      </c>
      <c r="B43" s="21" t="s">
        <v>15</v>
      </c>
      <c r="C43" s="21" t="s">
        <v>30</v>
      </c>
      <c r="D43" s="21">
        <v>1</v>
      </c>
      <c r="E43" s="21" t="str">
        <f t="shared" si="0"/>
        <v>Liste!AQ1</v>
      </c>
      <c r="F43" s="21">
        <v>43</v>
      </c>
      <c r="G43" s="21" t="s">
        <v>41</v>
      </c>
      <c r="H43" s="21" t="str">
        <f t="shared" si="1"/>
        <v>INDEX(Liste;$E$2;43)</v>
      </c>
    </row>
    <row r="44" spans="1:8" x14ac:dyDescent="0.2">
      <c r="A44" s="21" t="s">
        <v>40</v>
      </c>
      <c r="B44" s="21" t="s">
        <v>15</v>
      </c>
      <c r="C44" s="21" t="s">
        <v>31</v>
      </c>
      <c r="D44" s="21">
        <v>1</v>
      </c>
      <c r="E44" s="21" t="str">
        <f t="shared" si="0"/>
        <v>Liste!AR1</v>
      </c>
      <c r="F44" s="21">
        <v>44</v>
      </c>
      <c r="G44" s="21" t="s">
        <v>41</v>
      </c>
      <c r="H44" s="21" t="str">
        <f t="shared" si="1"/>
        <v>INDEX(Liste;$E$2;44)</v>
      </c>
    </row>
    <row r="45" spans="1:8" x14ac:dyDescent="0.2">
      <c r="A45" s="21" t="s">
        <v>40</v>
      </c>
      <c r="B45" s="21" t="s">
        <v>15</v>
      </c>
      <c r="C45" s="21" t="s">
        <v>32</v>
      </c>
      <c r="D45" s="21">
        <v>1</v>
      </c>
      <c r="E45" s="21" t="str">
        <f t="shared" si="0"/>
        <v>Liste!AS1</v>
      </c>
      <c r="F45" s="21">
        <v>45</v>
      </c>
      <c r="G45" s="21" t="s">
        <v>41</v>
      </c>
      <c r="H45" s="21" t="str">
        <f t="shared" si="1"/>
        <v>INDEX(Liste;$E$2;45)</v>
      </c>
    </row>
    <row r="46" spans="1:8" x14ac:dyDescent="0.2">
      <c r="A46" s="21" t="s">
        <v>40</v>
      </c>
      <c r="B46" s="21" t="s">
        <v>15</v>
      </c>
      <c r="C46" s="21" t="s">
        <v>33</v>
      </c>
      <c r="D46" s="21">
        <v>1</v>
      </c>
      <c r="E46" s="21" t="str">
        <f t="shared" si="0"/>
        <v>Liste!AT1</v>
      </c>
      <c r="F46" s="21">
        <v>46</v>
      </c>
      <c r="G46" s="21" t="s">
        <v>41</v>
      </c>
      <c r="H46" s="21" t="str">
        <f t="shared" si="1"/>
        <v>INDEX(Liste;$E$2;46)</v>
      </c>
    </row>
    <row r="47" spans="1:8" x14ac:dyDescent="0.2">
      <c r="A47" s="21" t="s">
        <v>40</v>
      </c>
      <c r="B47" s="21" t="s">
        <v>15</v>
      </c>
      <c r="C47" s="21" t="s">
        <v>34</v>
      </c>
      <c r="D47" s="21">
        <v>1</v>
      </c>
      <c r="E47" s="21" t="str">
        <f t="shared" si="0"/>
        <v>Liste!AU1</v>
      </c>
      <c r="F47" s="21">
        <v>47</v>
      </c>
      <c r="G47" s="21" t="s">
        <v>41</v>
      </c>
      <c r="H47" s="21" t="str">
        <f t="shared" si="1"/>
        <v>INDEX(Liste;$E$2;47)</v>
      </c>
    </row>
    <row r="48" spans="1:8" x14ac:dyDescent="0.2">
      <c r="A48" s="21" t="s">
        <v>40</v>
      </c>
      <c r="B48" s="21" t="s">
        <v>15</v>
      </c>
      <c r="C48" s="21" t="s">
        <v>35</v>
      </c>
      <c r="D48" s="21">
        <v>1</v>
      </c>
      <c r="E48" s="21" t="str">
        <f t="shared" si="0"/>
        <v>Liste!AV1</v>
      </c>
      <c r="F48" s="21">
        <v>48</v>
      </c>
      <c r="G48" s="21" t="s">
        <v>41</v>
      </c>
      <c r="H48" s="21" t="str">
        <f t="shared" si="1"/>
        <v>INDEX(Liste;$E$2;48)</v>
      </c>
    </row>
    <row r="49" spans="1:8" x14ac:dyDescent="0.2">
      <c r="A49" s="21" t="s">
        <v>40</v>
      </c>
      <c r="B49" s="21" t="s">
        <v>15</v>
      </c>
      <c r="C49" s="21" t="s">
        <v>36</v>
      </c>
      <c r="D49" s="21">
        <v>1</v>
      </c>
      <c r="E49" s="21" t="str">
        <f t="shared" si="0"/>
        <v>Liste!AW1</v>
      </c>
      <c r="F49" s="21">
        <v>49</v>
      </c>
      <c r="G49" s="21" t="s">
        <v>41</v>
      </c>
      <c r="H49" s="21" t="str">
        <f t="shared" si="1"/>
        <v>INDEX(Liste;$E$2;49)</v>
      </c>
    </row>
    <row r="50" spans="1:8" x14ac:dyDescent="0.2">
      <c r="A50" s="21" t="s">
        <v>40</v>
      </c>
      <c r="B50" s="21" t="s">
        <v>15</v>
      </c>
      <c r="C50" s="21" t="s">
        <v>37</v>
      </c>
      <c r="D50" s="21">
        <v>1</v>
      </c>
      <c r="E50" s="21" t="str">
        <f t="shared" si="0"/>
        <v>Liste!AX1</v>
      </c>
      <c r="F50" s="21">
        <v>50</v>
      </c>
      <c r="G50" s="21" t="s">
        <v>41</v>
      </c>
      <c r="H50" s="21" t="str">
        <f t="shared" si="1"/>
        <v>INDEX(Liste;$E$2;50)</v>
      </c>
    </row>
    <row r="51" spans="1:8" x14ac:dyDescent="0.2">
      <c r="A51" s="21" t="s">
        <v>40</v>
      </c>
      <c r="B51" s="21" t="s">
        <v>15</v>
      </c>
      <c r="C51" s="21" t="s">
        <v>38</v>
      </c>
      <c r="D51" s="21">
        <v>1</v>
      </c>
      <c r="E51" s="21" t="str">
        <f t="shared" si="0"/>
        <v>Liste!AY1</v>
      </c>
      <c r="F51" s="21">
        <v>51</v>
      </c>
      <c r="G51" s="21" t="s">
        <v>41</v>
      </c>
      <c r="H51" s="21" t="str">
        <f t="shared" si="1"/>
        <v>INDEX(Liste;$E$2;51)</v>
      </c>
    </row>
    <row r="52" spans="1:8" x14ac:dyDescent="0.2">
      <c r="A52" s="21" t="s">
        <v>40</v>
      </c>
      <c r="B52" s="21" t="s">
        <v>15</v>
      </c>
      <c r="C52" s="21" t="s">
        <v>39</v>
      </c>
      <c r="D52" s="21">
        <v>1</v>
      </c>
      <c r="E52" s="21" t="str">
        <f t="shared" si="0"/>
        <v>Liste!AZ1</v>
      </c>
      <c r="F52" s="21">
        <v>52</v>
      </c>
      <c r="G52" s="21" t="s">
        <v>41</v>
      </c>
      <c r="H52" s="21" t="str">
        <f t="shared" si="1"/>
        <v>INDEX(Liste;$E$2;52)</v>
      </c>
    </row>
    <row r="53" spans="1:8" x14ac:dyDescent="0.2">
      <c r="A53" s="21" t="s">
        <v>40</v>
      </c>
      <c r="B53" s="21" t="s">
        <v>16</v>
      </c>
      <c r="C53" s="21" t="s">
        <v>15</v>
      </c>
      <c r="D53" s="21">
        <v>1</v>
      </c>
      <c r="E53" s="21" t="str">
        <f t="shared" si="0"/>
        <v>Liste!BA1</v>
      </c>
      <c r="F53" s="21">
        <v>53</v>
      </c>
      <c r="G53" s="21" t="s">
        <v>41</v>
      </c>
      <c r="H53" s="21" t="str">
        <f t="shared" si="1"/>
        <v>INDEX(Liste;$E$2;53)</v>
      </c>
    </row>
    <row r="54" spans="1:8" x14ac:dyDescent="0.2">
      <c r="A54" s="21" t="s">
        <v>40</v>
      </c>
      <c r="B54" s="21" t="s">
        <v>16</v>
      </c>
      <c r="C54" s="21" t="s">
        <v>16</v>
      </c>
      <c r="D54" s="21">
        <v>1</v>
      </c>
      <c r="E54" s="21" t="str">
        <f t="shared" si="0"/>
        <v>Liste!BB1</v>
      </c>
      <c r="F54" s="21">
        <v>54</v>
      </c>
      <c r="G54" s="21" t="s">
        <v>41</v>
      </c>
      <c r="H54" s="21" t="str">
        <f t="shared" si="1"/>
        <v>INDEX(Liste;$E$2;54)</v>
      </c>
    </row>
    <row r="55" spans="1:8" x14ac:dyDescent="0.2">
      <c r="A55" s="21" t="s">
        <v>40</v>
      </c>
      <c r="B55" s="21" t="s">
        <v>16</v>
      </c>
      <c r="C55" s="21" t="s">
        <v>17</v>
      </c>
      <c r="D55" s="21">
        <v>1</v>
      </c>
      <c r="E55" s="21" t="str">
        <f t="shared" si="0"/>
        <v>Liste!BC1</v>
      </c>
      <c r="F55" s="21">
        <v>55</v>
      </c>
      <c r="G55" s="21" t="s">
        <v>41</v>
      </c>
      <c r="H55" s="21" t="str">
        <f t="shared" si="1"/>
        <v>INDEX(Liste;$E$2;55)</v>
      </c>
    </row>
    <row r="56" spans="1:8" x14ac:dyDescent="0.2">
      <c r="A56" s="21" t="s">
        <v>40</v>
      </c>
      <c r="B56" s="21" t="s">
        <v>16</v>
      </c>
      <c r="C56" s="21" t="s">
        <v>18</v>
      </c>
      <c r="D56" s="21">
        <v>1</v>
      </c>
      <c r="E56" s="21" t="str">
        <f t="shared" si="0"/>
        <v>Liste!BD1</v>
      </c>
      <c r="F56" s="21">
        <v>56</v>
      </c>
      <c r="G56" s="21" t="s">
        <v>41</v>
      </c>
      <c r="H56" s="21" t="str">
        <f t="shared" si="1"/>
        <v>INDEX(Liste;$E$2;56)</v>
      </c>
    </row>
    <row r="57" spans="1:8" x14ac:dyDescent="0.2">
      <c r="A57" s="21" t="s">
        <v>40</v>
      </c>
      <c r="B57" s="21" t="s">
        <v>16</v>
      </c>
      <c r="C57" s="21" t="s">
        <v>19</v>
      </c>
      <c r="D57" s="21">
        <v>1</v>
      </c>
      <c r="E57" s="21" t="str">
        <f t="shared" si="0"/>
        <v>Liste!BE1</v>
      </c>
      <c r="F57" s="21">
        <v>57</v>
      </c>
      <c r="G57" s="21" t="s">
        <v>41</v>
      </c>
      <c r="H57" s="21" t="str">
        <f t="shared" si="1"/>
        <v>INDEX(Liste;$E$2;57)</v>
      </c>
    </row>
    <row r="58" spans="1:8" x14ac:dyDescent="0.2">
      <c r="A58" s="21" t="s">
        <v>40</v>
      </c>
      <c r="B58" s="21" t="s">
        <v>16</v>
      </c>
      <c r="C58" s="21" t="s">
        <v>20</v>
      </c>
      <c r="D58" s="21">
        <v>1</v>
      </c>
      <c r="E58" s="21" t="str">
        <f t="shared" si="0"/>
        <v>Liste!BF1</v>
      </c>
      <c r="F58" s="21">
        <v>58</v>
      </c>
      <c r="G58" s="21" t="s">
        <v>41</v>
      </c>
      <c r="H58" s="21" t="str">
        <f t="shared" si="1"/>
        <v>INDEX(Liste;$E$2;58)</v>
      </c>
    </row>
    <row r="59" spans="1:8" x14ac:dyDescent="0.2">
      <c r="A59" s="21" t="s">
        <v>40</v>
      </c>
      <c r="B59" s="21" t="s">
        <v>16</v>
      </c>
      <c r="C59" s="21" t="s">
        <v>21</v>
      </c>
      <c r="D59" s="21">
        <v>1</v>
      </c>
      <c r="E59" s="21" t="str">
        <f t="shared" si="0"/>
        <v>Liste!BG1</v>
      </c>
      <c r="F59" s="21">
        <v>59</v>
      </c>
      <c r="G59" s="21" t="s">
        <v>41</v>
      </c>
      <c r="H59" s="21" t="str">
        <f t="shared" si="1"/>
        <v>INDEX(Liste;$E$2;59)</v>
      </c>
    </row>
    <row r="60" spans="1:8" x14ac:dyDescent="0.2">
      <c r="A60" s="21" t="s">
        <v>40</v>
      </c>
      <c r="B60" s="21" t="s">
        <v>16</v>
      </c>
      <c r="C60" s="21" t="s">
        <v>22</v>
      </c>
      <c r="D60" s="21">
        <v>1</v>
      </c>
      <c r="E60" s="21" t="str">
        <f t="shared" si="0"/>
        <v>Liste!BH1</v>
      </c>
      <c r="F60" s="21">
        <v>60</v>
      </c>
      <c r="G60" s="21" t="s">
        <v>41</v>
      </c>
      <c r="H60" s="21" t="str">
        <f t="shared" si="1"/>
        <v>INDEX(Liste;$E$2;60)</v>
      </c>
    </row>
    <row r="61" spans="1:8" x14ac:dyDescent="0.2">
      <c r="A61" s="21" t="s">
        <v>40</v>
      </c>
      <c r="B61" s="21" t="s">
        <v>16</v>
      </c>
      <c r="C61" s="21" t="s">
        <v>23</v>
      </c>
      <c r="D61" s="21">
        <v>1</v>
      </c>
      <c r="E61" s="21" t="str">
        <f t="shared" si="0"/>
        <v>Liste!BI1</v>
      </c>
      <c r="F61" s="21">
        <v>61</v>
      </c>
      <c r="G61" s="21" t="s">
        <v>41</v>
      </c>
      <c r="H61" s="21" t="str">
        <f t="shared" si="1"/>
        <v>INDEX(Liste;$E$2;61)</v>
      </c>
    </row>
    <row r="62" spans="1:8" x14ac:dyDescent="0.2">
      <c r="A62" s="21" t="s">
        <v>40</v>
      </c>
      <c r="B62" s="21" t="s">
        <v>16</v>
      </c>
      <c r="C62" s="21" t="s">
        <v>24</v>
      </c>
      <c r="D62" s="21">
        <v>1</v>
      </c>
      <c r="E62" s="21" t="str">
        <f t="shared" si="0"/>
        <v>Liste!BJ1</v>
      </c>
      <c r="F62" s="21">
        <v>62</v>
      </c>
      <c r="G62" s="21" t="s">
        <v>41</v>
      </c>
      <c r="H62" s="21" t="str">
        <f t="shared" si="1"/>
        <v>INDEX(Liste;$E$2;62)</v>
      </c>
    </row>
    <row r="63" spans="1:8" x14ac:dyDescent="0.2">
      <c r="A63" s="21" t="s">
        <v>40</v>
      </c>
      <c r="B63" s="21" t="s">
        <v>16</v>
      </c>
      <c r="C63" s="21" t="s">
        <v>25</v>
      </c>
      <c r="D63" s="21">
        <v>1</v>
      </c>
      <c r="E63" s="21" t="str">
        <f t="shared" si="0"/>
        <v>Liste!BK1</v>
      </c>
      <c r="F63" s="21">
        <v>63</v>
      </c>
      <c r="G63" s="21" t="s">
        <v>41</v>
      </c>
      <c r="H63" s="21" t="str">
        <f t="shared" si="1"/>
        <v>INDEX(Liste;$E$2;63)</v>
      </c>
    </row>
    <row r="64" spans="1:8" x14ac:dyDescent="0.2">
      <c r="A64" s="21" t="s">
        <v>40</v>
      </c>
      <c r="B64" s="21" t="s">
        <v>16</v>
      </c>
      <c r="C64" s="21" t="s">
        <v>26</v>
      </c>
      <c r="D64" s="21">
        <v>1</v>
      </c>
      <c r="E64" s="21" t="str">
        <f t="shared" si="0"/>
        <v>Liste!BL1</v>
      </c>
      <c r="F64" s="21">
        <v>64</v>
      </c>
      <c r="G64" s="21" t="s">
        <v>41</v>
      </c>
      <c r="H64" s="21" t="str">
        <f t="shared" si="1"/>
        <v>INDEX(Liste;$E$2;64)</v>
      </c>
    </row>
    <row r="65" spans="1:8" x14ac:dyDescent="0.2">
      <c r="A65" s="21" t="s">
        <v>40</v>
      </c>
      <c r="B65" s="21" t="s">
        <v>16</v>
      </c>
      <c r="C65" s="21" t="s">
        <v>27</v>
      </c>
      <c r="D65" s="21">
        <v>1</v>
      </c>
      <c r="E65" s="21" t="str">
        <f t="shared" si="0"/>
        <v>Liste!BM1</v>
      </c>
      <c r="F65" s="21">
        <v>65</v>
      </c>
      <c r="G65" s="21" t="s">
        <v>41</v>
      </c>
      <c r="H65" s="21" t="str">
        <f t="shared" si="1"/>
        <v>INDEX(Liste;$E$2;65)</v>
      </c>
    </row>
    <row r="66" spans="1:8" x14ac:dyDescent="0.2">
      <c r="A66" s="21" t="s">
        <v>40</v>
      </c>
      <c r="B66" s="21" t="s">
        <v>16</v>
      </c>
      <c r="C66" s="21" t="s">
        <v>7</v>
      </c>
      <c r="D66" s="21">
        <v>1</v>
      </c>
      <c r="E66" s="21" t="str">
        <f t="shared" ref="E66:E129" si="2">A66&amp;B66&amp;C66&amp;D66</f>
        <v>Liste!BN1</v>
      </c>
      <c r="F66" s="21">
        <v>66</v>
      </c>
      <c r="G66" s="21" t="s">
        <v>41</v>
      </c>
      <c r="H66" s="21" t="str">
        <f t="shared" si="1"/>
        <v>INDEX(Liste;$E$2;66)</v>
      </c>
    </row>
    <row r="67" spans="1:8" x14ac:dyDescent="0.2">
      <c r="A67" s="21" t="s">
        <v>40</v>
      </c>
      <c r="B67" s="21" t="s">
        <v>16</v>
      </c>
      <c r="C67" s="21" t="s">
        <v>28</v>
      </c>
      <c r="D67" s="21">
        <v>1</v>
      </c>
      <c r="E67" s="21" t="str">
        <f t="shared" si="2"/>
        <v>Liste!BO1</v>
      </c>
      <c r="F67" s="21">
        <v>67</v>
      </c>
      <c r="G67" s="21" t="s">
        <v>41</v>
      </c>
      <c r="H67" s="21" t="str">
        <f t="shared" ref="H67:H130" si="3">G67&amp;F67&amp;")"</f>
        <v>INDEX(Liste;$E$2;67)</v>
      </c>
    </row>
    <row r="68" spans="1:8" x14ac:dyDescent="0.2">
      <c r="A68" s="21" t="s">
        <v>40</v>
      </c>
      <c r="B68" s="21" t="s">
        <v>16</v>
      </c>
      <c r="C68" s="21" t="s">
        <v>29</v>
      </c>
      <c r="D68" s="21">
        <v>1</v>
      </c>
      <c r="E68" s="21" t="str">
        <f t="shared" si="2"/>
        <v>Liste!BP1</v>
      </c>
      <c r="F68" s="21">
        <v>68</v>
      </c>
      <c r="G68" s="21" t="s">
        <v>41</v>
      </c>
      <c r="H68" s="21" t="str">
        <f t="shared" si="3"/>
        <v>INDEX(Liste;$E$2;68)</v>
      </c>
    </row>
    <row r="69" spans="1:8" x14ac:dyDescent="0.2">
      <c r="A69" s="21" t="s">
        <v>40</v>
      </c>
      <c r="B69" s="21" t="s">
        <v>16</v>
      </c>
      <c r="C69" s="21" t="s">
        <v>30</v>
      </c>
      <c r="D69" s="21">
        <v>1</v>
      </c>
      <c r="E69" s="21" t="str">
        <f t="shared" si="2"/>
        <v>Liste!BQ1</v>
      </c>
      <c r="F69" s="21">
        <v>69</v>
      </c>
      <c r="G69" s="21" t="s">
        <v>41</v>
      </c>
      <c r="H69" s="21" t="str">
        <f t="shared" si="3"/>
        <v>INDEX(Liste;$E$2;69)</v>
      </c>
    </row>
    <row r="70" spans="1:8" x14ac:dyDescent="0.2">
      <c r="A70" s="21" t="s">
        <v>40</v>
      </c>
      <c r="B70" s="21" t="s">
        <v>16</v>
      </c>
      <c r="C70" s="21" t="s">
        <v>31</v>
      </c>
      <c r="D70" s="21">
        <v>1</v>
      </c>
      <c r="E70" s="21" t="str">
        <f t="shared" si="2"/>
        <v>Liste!BR1</v>
      </c>
      <c r="F70" s="21">
        <v>70</v>
      </c>
      <c r="G70" s="21" t="s">
        <v>41</v>
      </c>
      <c r="H70" s="21" t="str">
        <f t="shared" si="3"/>
        <v>INDEX(Liste;$E$2;70)</v>
      </c>
    </row>
    <row r="71" spans="1:8" x14ac:dyDescent="0.2">
      <c r="A71" s="21" t="s">
        <v>40</v>
      </c>
      <c r="B71" s="21" t="s">
        <v>16</v>
      </c>
      <c r="C71" s="21" t="s">
        <v>32</v>
      </c>
      <c r="D71" s="21">
        <v>1</v>
      </c>
      <c r="E71" s="21" t="str">
        <f t="shared" si="2"/>
        <v>Liste!BS1</v>
      </c>
      <c r="F71" s="21">
        <v>71</v>
      </c>
      <c r="G71" s="21" t="s">
        <v>41</v>
      </c>
      <c r="H71" s="21" t="str">
        <f t="shared" si="3"/>
        <v>INDEX(Liste;$E$2;71)</v>
      </c>
    </row>
    <row r="72" spans="1:8" x14ac:dyDescent="0.2">
      <c r="A72" s="21" t="s">
        <v>40</v>
      </c>
      <c r="B72" s="21" t="s">
        <v>16</v>
      </c>
      <c r="C72" s="21" t="s">
        <v>33</v>
      </c>
      <c r="D72" s="21">
        <v>1</v>
      </c>
      <c r="E72" s="21" t="str">
        <f t="shared" si="2"/>
        <v>Liste!BT1</v>
      </c>
      <c r="F72" s="21">
        <v>72</v>
      </c>
      <c r="G72" s="21" t="s">
        <v>41</v>
      </c>
      <c r="H72" s="21" t="str">
        <f t="shared" si="3"/>
        <v>INDEX(Liste;$E$2;72)</v>
      </c>
    </row>
    <row r="73" spans="1:8" x14ac:dyDescent="0.2">
      <c r="A73" s="21" t="s">
        <v>40</v>
      </c>
      <c r="B73" s="21" t="s">
        <v>16</v>
      </c>
      <c r="C73" s="21" t="s">
        <v>34</v>
      </c>
      <c r="D73" s="21">
        <v>1</v>
      </c>
      <c r="E73" s="21" t="str">
        <f t="shared" si="2"/>
        <v>Liste!BU1</v>
      </c>
      <c r="F73" s="21">
        <v>73</v>
      </c>
      <c r="G73" s="21" t="s">
        <v>41</v>
      </c>
      <c r="H73" s="21" t="str">
        <f t="shared" si="3"/>
        <v>INDEX(Liste;$E$2;73)</v>
      </c>
    </row>
    <row r="74" spans="1:8" x14ac:dyDescent="0.2">
      <c r="A74" s="21" t="s">
        <v>40</v>
      </c>
      <c r="B74" s="21" t="s">
        <v>16</v>
      </c>
      <c r="C74" s="21" t="s">
        <v>35</v>
      </c>
      <c r="D74" s="21">
        <v>1</v>
      </c>
      <c r="E74" s="21" t="str">
        <f t="shared" si="2"/>
        <v>Liste!BV1</v>
      </c>
      <c r="F74" s="21">
        <v>74</v>
      </c>
      <c r="G74" s="21" t="s">
        <v>41</v>
      </c>
      <c r="H74" s="21" t="str">
        <f t="shared" si="3"/>
        <v>INDEX(Liste;$E$2;74)</v>
      </c>
    </row>
    <row r="75" spans="1:8" x14ac:dyDescent="0.2">
      <c r="A75" s="21" t="s">
        <v>40</v>
      </c>
      <c r="B75" s="21" t="s">
        <v>16</v>
      </c>
      <c r="C75" s="21" t="s">
        <v>36</v>
      </c>
      <c r="D75" s="21">
        <v>1</v>
      </c>
      <c r="E75" s="21" t="str">
        <f t="shared" si="2"/>
        <v>Liste!BW1</v>
      </c>
      <c r="F75" s="21">
        <v>75</v>
      </c>
      <c r="G75" s="21" t="s">
        <v>41</v>
      </c>
      <c r="H75" s="21" t="str">
        <f t="shared" si="3"/>
        <v>INDEX(Liste;$E$2;75)</v>
      </c>
    </row>
    <row r="76" spans="1:8" x14ac:dyDescent="0.2">
      <c r="A76" s="21" t="s">
        <v>40</v>
      </c>
      <c r="B76" s="21" t="s">
        <v>16</v>
      </c>
      <c r="C76" s="21" t="s">
        <v>37</v>
      </c>
      <c r="D76" s="21">
        <v>1</v>
      </c>
      <c r="E76" s="21" t="str">
        <f t="shared" si="2"/>
        <v>Liste!BX1</v>
      </c>
      <c r="F76" s="21">
        <v>76</v>
      </c>
      <c r="G76" s="21" t="s">
        <v>41</v>
      </c>
      <c r="H76" s="21" t="str">
        <f t="shared" si="3"/>
        <v>INDEX(Liste;$E$2;76)</v>
      </c>
    </row>
    <row r="77" spans="1:8" x14ac:dyDescent="0.2">
      <c r="A77" s="21" t="s">
        <v>40</v>
      </c>
      <c r="B77" s="21" t="s">
        <v>16</v>
      </c>
      <c r="C77" s="21" t="s">
        <v>38</v>
      </c>
      <c r="D77" s="21">
        <v>1</v>
      </c>
      <c r="E77" s="21" t="str">
        <f t="shared" si="2"/>
        <v>Liste!BY1</v>
      </c>
      <c r="F77" s="21">
        <v>77</v>
      </c>
      <c r="G77" s="21" t="s">
        <v>41</v>
      </c>
      <c r="H77" s="21" t="str">
        <f t="shared" si="3"/>
        <v>INDEX(Liste;$E$2;77)</v>
      </c>
    </row>
    <row r="78" spans="1:8" x14ac:dyDescent="0.2">
      <c r="A78" s="21" t="s">
        <v>40</v>
      </c>
      <c r="B78" s="21" t="s">
        <v>16</v>
      </c>
      <c r="C78" s="21" t="s">
        <v>39</v>
      </c>
      <c r="D78" s="21">
        <v>1</v>
      </c>
      <c r="E78" s="21" t="str">
        <f t="shared" si="2"/>
        <v>Liste!BZ1</v>
      </c>
      <c r="F78" s="21">
        <v>78</v>
      </c>
      <c r="G78" s="21" t="s">
        <v>41</v>
      </c>
      <c r="H78" s="21" t="str">
        <f t="shared" si="3"/>
        <v>INDEX(Liste;$E$2;78)</v>
      </c>
    </row>
    <row r="79" spans="1:8" x14ac:dyDescent="0.2">
      <c r="A79" s="21" t="s">
        <v>40</v>
      </c>
      <c r="B79" s="21" t="s">
        <v>17</v>
      </c>
      <c r="C79" s="21" t="s">
        <v>15</v>
      </c>
      <c r="D79" s="21">
        <v>1</v>
      </c>
      <c r="E79" s="21" t="str">
        <f t="shared" si="2"/>
        <v>Liste!CA1</v>
      </c>
      <c r="F79" s="21">
        <v>79</v>
      </c>
      <c r="G79" s="21" t="s">
        <v>41</v>
      </c>
      <c r="H79" s="21" t="str">
        <f t="shared" si="3"/>
        <v>INDEX(Liste;$E$2;79)</v>
      </c>
    </row>
    <row r="80" spans="1:8" x14ac:dyDescent="0.2">
      <c r="A80" s="21" t="s">
        <v>40</v>
      </c>
      <c r="B80" s="21" t="s">
        <v>17</v>
      </c>
      <c r="C80" s="21" t="s">
        <v>16</v>
      </c>
      <c r="D80" s="21">
        <v>1</v>
      </c>
      <c r="E80" s="21" t="str">
        <f t="shared" si="2"/>
        <v>Liste!CB1</v>
      </c>
      <c r="F80" s="21">
        <v>80</v>
      </c>
      <c r="G80" s="21" t="s">
        <v>41</v>
      </c>
      <c r="H80" s="21" t="str">
        <f t="shared" si="3"/>
        <v>INDEX(Liste;$E$2;80)</v>
      </c>
    </row>
    <row r="81" spans="1:8" x14ac:dyDescent="0.2">
      <c r="A81" s="21" t="s">
        <v>40</v>
      </c>
      <c r="B81" s="21" t="s">
        <v>17</v>
      </c>
      <c r="C81" s="21" t="s">
        <v>17</v>
      </c>
      <c r="D81" s="21">
        <v>1</v>
      </c>
      <c r="E81" s="21" t="str">
        <f t="shared" si="2"/>
        <v>Liste!CC1</v>
      </c>
      <c r="F81" s="21">
        <v>81</v>
      </c>
      <c r="G81" s="21" t="s">
        <v>41</v>
      </c>
      <c r="H81" s="21" t="str">
        <f t="shared" si="3"/>
        <v>INDEX(Liste;$E$2;81)</v>
      </c>
    </row>
    <row r="82" spans="1:8" x14ac:dyDescent="0.2">
      <c r="A82" s="21" t="s">
        <v>40</v>
      </c>
      <c r="B82" s="21" t="s">
        <v>17</v>
      </c>
      <c r="C82" s="21" t="s">
        <v>18</v>
      </c>
      <c r="D82" s="21">
        <v>1</v>
      </c>
      <c r="E82" s="21" t="str">
        <f t="shared" si="2"/>
        <v>Liste!CD1</v>
      </c>
      <c r="F82" s="21">
        <v>82</v>
      </c>
      <c r="G82" s="21" t="s">
        <v>41</v>
      </c>
      <c r="H82" s="21" t="str">
        <f t="shared" si="3"/>
        <v>INDEX(Liste;$E$2;82)</v>
      </c>
    </row>
    <row r="83" spans="1:8" x14ac:dyDescent="0.2">
      <c r="A83" s="21" t="s">
        <v>40</v>
      </c>
      <c r="B83" s="21" t="s">
        <v>17</v>
      </c>
      <c r="C83" s="21" t="s">
        <v>19</v>
      </c>
      <c r="D83" s="21">
        <v>1</v>
      </c>
      <c r="E83" s="21" t="str">
        <f t="shared" si="2"/>
        <v>Liste!CE1</v>
      </c>
      <c r="F83" s="21">
        <v>83</v>
      </c>
      <c r="G83" s="21" t="s">
        <v>41</v>
      </c>
      <c r="H83" s="21" t="str">
        <f t="shared" si="3"/>
        <v>INDEX(Liste;$E$2;83)</v>
      </c>
    </row>
    <row r="84" spans="1:8" x14ac:dyDescent="0.2">
      <c r="A84" s="21" t="s">
        <v>40</v>
      </c>
      <c r="B84" s="21" t="s">
        <v>17</v>
      </c>
      <c r="C84" s="21" t="s">
        <v>20</v>
      </c>
      <c r="D84" s="21">
        <v>1</v>
      </c>
      <c r="E84" s="21" t="str">
        <f t="shared" si="2"/>
        <v>Liste!CF1</v>
      </c>
      <c r="F84" s="21">
        <v>84</v>
      </c>
      <c r="G84" s="21" t="s">
        <v>41</v>
      </c>
      <c r="H84" s="21" t="str">
        <f t="shared" si="3"/>
        <v>INDEX(Liste;$E$2;84)</v>
      </c>
    </row>
    <row r="85" spans="1:8" x14ac:dyDescent="0.2">
      <c r="A85" s="21" t="s">
        <v>40</v>
      </c>
      <c r="B85" s="21" t="s">
        <v>17</v>
      </c>
      <c r="C85" s="21" t="s">
        <v>21</v>
      </c>
      <c r="D85" s="21">
        <v>1</v>
      </c>
      <c r="E85" s="21" t="str">
        <f t="shared" si="2"/>
        <v>Liste!CG1</v>
      </c>
      <c r="F85" s="21">
        <v>85</v>
      </c>
      <c r="G85" s="21" t="s">
        <v>41</v>
      </c>
      <c r="H85" s="21" t="str">
        <f t="shared" si="3"/>
        <v>INDEX(Liste;$E$2;85)</v>
      </c>
    </row>
    <row r="86" spans="1:8" x14ac:dyDescent="0.2">
      <c r="A86" s="21" t="s">
        <v>40</v>
      </c>
      <c r="B86" s="21" t="s">
        <v>17</v>
      </c>
      <c r="C86" s="21" t="s">
        <v>22</v>
      </c>
      <c r="D86" s="21">
        <v>1</v>
      </c>
      <c r="E86" s="21" t="str">
        <f t="shared" si="2"/>
        <v>Liste!CH1</v>
      </c>
      <c r="F86" s="21">
        <v>86</v>
      </c>
      <c r="G86" s="21" t="s">
        <v>41</v>
      </c>
      <c r="H86" s="21" t="str">
        <f t="shared" si="3"/>
        <v>INDEX(Liste;$E$2;86)</v>
      </c>
    </row>
    <row r="87" spans="1:8" x14ac:dyDescent="0.2">
      <c r="A87" s="21" t="s">
        <v>40</v>
      </c>
      <c r="B87" s="21" t="s">
        <v>17</v>
      </c>
      <c r="C87" s="21" t="s">
        <v>23</v>
      </c>
      <c r="D87" s="21">
        <v>1</v>
      </c>
      <c r="E87" s="21" t="str">
        <f t="shared" si="2"/>
        <v>Liste!CI1</v>
      </c>
      <c r="F87" s="21">
        <v>87</v>
      </c>
      <c r="G87" s="21" t="s">
        <v>41</v>
      </c>
      <c r="H87" s="21" t="str">
        <f t="shared" si="3"/>
        <v>INDEX(Liste;$E$2;87)</v>
      </c>
    </row>
    <row r="88" spans="1:8" x14ac:dyDescent="0.2">
      <c r="A88" s="21" t="s">
        <v>40</v>
      </c>
      <c r="B88" s="21" t="s">
        <v>17</v>
      </c>
      <c r="C88" s="21" t="s">
        <v>24</v>
      </c>
      <c r="D88" s="21">
        <v>1</v>
      </c>
      <c r="E88" s="21" t="str">
        <f t="shared" si="2"/>
        <v>Liste!CJ1</v>
      </c>
      <c r="F88" s="21">
        <v>88</v>
      </c>
      <c r="G88" s="21" t="s">
        <v>41</v>
      </c>
      <c r="H88" s="21" t="str">
        <f t="shared" si="3"/>
        <v>INDEX(Liste;$E$2;88)</v>
      </c>
    </row>
    <row r="89" spans="1:8" x14ac:dyDescent="0.2">
      <c r="A89" s="21" t="s">
        <v>40</v>
      </c>
      <c r="B89" s="21" t="s">
        <v>17</v>
      </c>
      <c r="C89" s="21" t="s">
        <v>25</v>
      </c>
      <c r="D89" s="21">
        <v>1</v>
      </c>
      <c r="E89" s="21" t="str">
        <f t="shared" si="2"/>
        <v>Liste!CK1</v>
      </c>
      <c r="F89" s="21">
        <v>89</v>
      </c>
      <c r="G89" s="21" t="s">
        <v>41</v>
      </c>
      <c r="H89" s="21" t="str">
        <f t="shared" si="3"/>
        <v>INDEX(Liste;$E$2;89)</v>
      </c>
    </row>
    <row r="90" spans="1:8" x14ac:dyDescent="0.2">
      <c r="A90" s="21" t="s">
        <v>40</v>
      </c>
      <c r="B90" s="21" t="s">
        <v>17</v>
      </c>
      <c r="C90" s="21" t="s">
        <v>26</v>
      </c>
      <c r="D90" s="21">
        <v>1</v>
      </c>
      <c r="E90" s="21" t="str">
        <f t="shared" si="2"/>
        <v>Liste!CL1</v>
      </c>
      <c r="F90" s="21">
        <v>90</v>
      </c>
      <c r="G90" s="21" t="s">
        <v>41</v>
      </c>
      <c r="H90" s="21" t="str">
        <f t="shared" si="3"/>
        <v>INDEX(Liste;$E$2;90)</v>
      </c>
    </row>
    <row r="91" spans="1:8" x14ac:dyDescent="0.2">
      <c r="A91" s="21" t="s">
        <v>40</v>
      </c>
      <c r="B91" s="21" t="s">
        <v>17</v>
      </c>
      <c r="C91" s="21" t="s">
        <v>27</v>
      </c>
      <c r="D91" s="21">
        <v>1</v>
      </c>
      <c r="E91" s="21" t="str">
        <f t="shared" si="2"/>
        <v>Liste!CM1</v>
      </c>
      <c r="F91" s="21">
        <v>91</v>
      </c>
      <c r="G91" s="21" t="s">
        <v>41</v>
      </c>
      <c r="H91" s="21" t="str">
        <f t="shared" si="3"/>
        <v>INDEX(Liste;$E$2;91)</v>
      </c>
    </row>
    <row r="92" spans="1:8" x14ac:dyDescent="0.2">
      <c r="A92" s="21" t="s">
        <v>40</v>
      </c>
      <c r="B92" s="21" t="s">
        <v>17</v>
      </c>
      <c r="C92" s="21" t="s">
        <v>7</v>
      </c>
      <c r="D92" s="21">
        <v>1</v>
      </c>
      <c r="E92" s="21" t="str">
        <f t="shared" si="2"/>
        <v>Liste!CN1</v>
      </c>
      <c r="F92" s="21">
        <v>92</v>
      </c>
      <c r="G92" s="21" t="s">
        <v>41</v>
      </c>
      <c r="H92" s="21" t="str">
        <f t="shared" si="3"/>
        <v>INDEX(Liste;$E$2;92)</v>
      </c>
    </row>
    <row r="93" spans="1:8" x14ac:dyDescent="0.2">
      <c r="A93" s="21" t="s">
        <v>40</v>
      </c>
      <c r="B93" s="21" t="s">
        <v>17</v>
      </c>
      <c r="C93" s="21" t="s">
        <v>28</v>
      </c>
      <c r="D93" s="21">
        <v>1</v>
      </c>
      <c r="E93" s="21" t="str">
        <f t="shared" si="2"/>
        <v>Liste!CO1</v>
      </c>
      <c r="F93" s="21">
        <v>93</v>
      </c>
      <c r="G93" s="21" t="s">
        <v>41</v>
      </c>
      <c r="H93" s="21" t="str">
        <f t="shared" si="3"/>
        <v>INDEX(Liste;$E$2;93)</v>
      </c>
    </row>
    <row r="94" spans="1:8" x14ac:dyDescent="0.2">
      <c r="A94" s="21" t="s">
        <v>40</v>
      </c>
      <c r="B94" s="21" t="s">
        <v>17</v>
      </c>
      <c r="C94" s="21" t="s">
        <v>29</v>
      </c>
      <c r="D94" s="21">
        <v>1</v>
      </c>
      <c r="E94" s="21" t="str">
        <f t="shared" si="2"/>
        <v>Liste!CP1</v>
      </c>
      <c r="F94" s="21">
        <v>94</v>
      </c>
      <c r="G94" s="21" t="s">
        <v>41</v>
      </c>
      <c r="H94" s="21" t="str">
        <f t="shared" si="3"/>
        <v>INDEX(Liste;$E$2;94)</v>
      </c>
    </row>
    <row r="95" spans="1:8" x14ac:dyDescent="0.2">
      <c r="A95" s="21" t="s">
        <v>40</v>
      </c>
      <c r="B95" s="21" t="s">
        <v>17</v>
      </c>
      <c r="C95" s="21" t="s">
        <v>30</v>
      </c>
      <c r="D95" s="21">
        <v>1</v>
      </c>
      <c r="E95" s="21" t="str">
        <f t="shared" si="2"/>
        <v>Liste!CQ1</v>
      </c>
      <c r="F95" s="21">
        <v>95</v>
      </c>
      <c r="G95" s="21" t="s">
        <v>41</v>
      </c>
      <c r="H95" s="21" t="str">
        <f t="shared" si="3"/>
        <v>INDEX(Liste;$E$2;95)</v>
      </c>
    </row>
    <row r="96" spans="1:8" x14ac:dyDescent="0.2">
      <c r="A96" s="21" t="s">
        <v>40</v>
      </c>
      <c r="B96" s="21" t="s">
        <v>17</v>
      </c>
      <c r="C96" s="21" t="s">
        <v>31</v>
      </c>
      <c r="D96" s="21">
        <v>1</v>
      </c>
      <c r="E96" s="21" t="str">
        <f t="shared" si="2"/>
        <v>Liste!CR1</v>
      </c>
      <c r="F96" s="21">
        <v>96</v>
      </c>
      <c r="G96" s="21" t="s">
        <v>41</v>
      </c>
      <c r="H96" s="21" t="str">
        <f t="shared" si="3"/>
        <v>INDEX(Liste;$E$2;96)</v>
      </c>
    </row>
    <row r="97" spans="1:8" x14ac:dyDescent="0.2">
      <c r="A97" s="21" t="s">
        <v>40</v>
      </c>
      <c r="B97" s="21" t="s">
        <v>17</v>
      </c>
      <c r="C97" s="21" t="s">
        <v>32</v>
      </c>
      <c r="D97" s="21">
        <v>1</v>
      </c>
      <c r="E97" s="21" t="str">
        <f t="shared" si="2"/>
        <v>Liste!CS1</v>
      </c>
      <c r="F97" s="21">
        <v>97</v>
      </c>
      <c r="G97" s="21" t="s">
        <v>41</v>
      </c>
      <c r="H97" s="21" t="str">
        <f t="shared" si="3"/>
        <v>INDEX(Liste;$E$2;97)</v>
      </c>
    </row>
    <row r="98" spans="1:8" x14ac:dyDescent="0.2">
      <c r="A98" s="21" t="s">
        <v>40</v>
      </c>
      <c r="B98" s="21" t="s">
        <v>17</v>
      </c>
      <c r="C98" s="21" t="s">
        <v>33</v>
      </c>
      <c r="D98" s="21">
        <v>1</v>
      </c>
      <c r="E98" s="21" t="str">
        <f t="shared" si="2"/>
        <v>Liste!CT1</v>
      </c>
      <c r="F98" s="21">
        <v>98</v>
      </c>
      <c r="G98" s="21" t="s">
        <v>41</v>
      </c>
      <c r="H98" s="21" t="str">
        <f t="shared" si="3"/>
        <v>INDEX(Liste;$E$2;98)</v>
      </c>
    </row>
    <row r="99" spans="1:8" x14ac:dyDescent="0.2">
      <c r="A99" s="21" t="s">
        <v>40</v>
      </c>
      <c r="B99" s="21" t="s">
        <v>17</v>
      </c>
      <c r="C99" s="21" t="s">
        <v>34</v>
      </c>
      <c r="D99" s="21">
        <v>1</v>
      </c>
      <c r="E99" s="21" t="str">
        <f t="shared" si="2"/>
        <v>Liste!CU1</v>
      </c>
      <c r="F99" s="21">
        <v>99</v>
      </c>
      <c r="G99" s="21" t="s">
        <v>41</v>
      </c>
      <c r="H99" s="21" t="str">
        <f t="shared" si="3"/>
        <v>INDEX(Liste;$E$2;99)</v>
      </c>
    </row>
    <row r="100" spans="1:8" x14ac:dyDescent="0.2">
      <c r="A100" s="21" t="s">
        <v>40</v>
      </c>
      <c r="B100" s="21" t="s">
        <v>17</v>
      </c>
      <c r="C100" s="21" t="s">
        <v>35</v>
      </c>
      <c r="D100" s="21">
        <v>1</v>
      </c>
      <c r="E100" s="21" t="str">
        <f t="shared" si="2"/>
        <v>Liste!CV1</v>
      </c>
      <c r="F100" s="21">
        <v>100</v>
      </c>
      <c r="G100" s="21" t="s">
        <v>41</v>
      </c>
      <c r="H100" s="21" t="str">
        <f t="shared" si="3"/>
        <v>INDEX(Liste;$E$2;100)</v>
      </c>
    </row>
    <row r="101" spans="1:8" x14ac:dyDescent="0.2">
      <c r="A101" s="21" t="s">
        <v>40</v>
      </c>
      <c r="B101" s="21" t="s">
        <v>17</v>
      </c>
      <c r="C101" s="21" t="s">
        <v>36</v>
      </c>
      <c r="D101" s="21">
        <v>1</v>
      </c>
      <c r="E101" s="21" t="str">
        <f t="shared" si="2"/>
        <v>Liste!CW1</v>
      </c>
      <c r="F101" s="21">
        <v>101</v>
      </c>
      <c r="G101" s="21" t="s">
        <v>41</v>
      </c>
      <c r="H101" s="21" t="str">
        <f t="shared" si="3"/>
        <v>INDEX(Liste;$E$2;101)</v>
      </c>
    </row>
    <row r="102" spans="1:8" x14ac:dyDescent="0.2">
      <c r="A102" s="21" t="s">
        <v>40</v>
      </c>
      <c r="B102" s="21" t="s">
        <v>17</v>
      </c>
      <c r="C102" s="21" t="s">
        <v>37</v>
      </c>
      <c r="D102" s="21">
        <v>1</v>
      </c>
      <c r="E102" s="21" t="str">
        <f t="shared" si="2"/>
        <v>Liste!CX1</v>
      </c>
      <c r="F102" s="21">
        <v>102</v>
      </c>
      <c r="G102" s="21" t="s">
        <v>41</v>
      </c>
      <c r="H102" s="21" t="str">
        <f t="shared" si="3"/>
        <v>INDEX(Liste;$E$2;102)</v>
      </c>
    </row>
    <row r="103" spans="1:8" x14ac:dyDescent="0.2">
      <c r="A103" s="21" t="s">
        <v>40</v>
      </c>
      <c r="B103" s="21" t="s">
        <v>17</v>
      </c>
      <c r="C103" s="21" t="s">
        <v>38</v>
      </c>
      <c r="D103" s="21">
        <v>1</v>
      </c>
      <c r="E103" s="21" t="str">
        <f t="shared" si="2"/>
        <v>Liste!CY1</v>
      </c>
      <c r="F103" s="21">
        <v>103</v>
      </c>
      <c r="G103" s="21" t="s">
        <v>41</v>
      </c>
      <c r="H103" s="21" t="str">
        <f t="shared" si="3"/>
        <v>INDEX(Liste;$E$2;103)</v>
      </c>
    </row>
    <row r="104" spans="1:8" x14ac:dyDescent="0.2">
      <c r="A104" s="21" t="s">
        <v>40</v>
      </c>
      <c r="B104" s="21" t="s">
        <v>17</v>
      </c>
      <c r="C104" s="21" t="s">
        <v>39</v>
      </c>
      <c r="D104" s="21">
        <v>1</v>
      </c>
      <c r="E104" s="21" t="str">
        <f t="shared" si="2"/>
        <v>Liste!CZ1</v>
      </c>
      <c r="F104" s="21">
        <v>104</v>
      </c>
      <c r="G104" s="21" t="s">
        <v>41</v>
      </c>
      <c r="H104" s="21" t="str">
        <f t="shared" si="3"/>
        <v>INDEX(Liste;$E$2;104)</v>
      </c>
    </row>
    <row r="105" spans="1:8" x14ac:dyDescent="0.2">
      <c r="A105" s="21" t="s">
        <v>40</v>
      </c>
      <c r="B105" s="21" t="s">
        <v>18</v>
      </c>
      <c r="C105" s="21" t="s">
        <v>15</v>
      </c>
      <c r="D105" s="21">
        <v>1</v>
      </c>
      <c r="E105" s="21" t="str">
        <f t="shared" si="2"/>
        <v>Liste!DA1</v>
      </c>
      <c r="F105" s="21">
        <v>105</v>
      </c>
      <c r="G105" s="21" t="s">
        <v>41</v>
      </c>
      <c r="H105" s="21" t="str">
        <f t="shared" si="3"/>
        <v>INDEX(Liste;$E$2;105)</v>
      </c>
    </row>
    <row r="106" spans="1:8" x14ac:dyDescent="0.2">
      <c r="A106" s="21" t="s">
        <v>40</v>
      </c>
      <c r="B106" s="21" t="s">
        <v>18</v>
      </c>
      <c r="C106" s="21" t="s">
        <v>16</v>
      </c>
      <c r="D106" s="21">
        <v>1</v>
      </c>
      <c r="E106" s="21" t="str">
        <f t="shared" si="2"/>
        <v>Liste!DB1</v>
      </c>
      <c r="F106" s="21">
        <v>106</v>
      </c>
      <c r="G106" s="21" t="s">
        <v>41</v>
      </c>
      <c r="H106" s="21" t="str">
        <f t="shared" si="3"/>
        <v>INDEX(Liste;$E$2;106)</v>
      </c>
    </row>
    <row r="107" spans="1:8" x14ac:dyDescent="0.2">
      <c r="A107" s="21" t="s">
        <v>40</v>
      </c>
      <c r="B107" s="21" t="s">
        <v>18</v>
      </c>
      <c r="C107" s="21" t="s">
        <v>17</v>
      </c>
      <c r="D107" s="21">
        <v>1</v>
      </c>
      <c r="E107" s="21" t="str">
        <f t="shared" si="2"/>
        <v>Liste!DC1</v>
      </c>
      <c r="F107" s="21">
        <v>107</v>
      </c>
      <c r="G107" s="21" t="s">
        <v>41</v>
      </c>
      <c r="H107" s="21" t="str">
        <f t="shared" si="3"/>
        <v>INDEX(Liste;$E$2;107)</v>
      </c>
    </row>
    <row r="108" spans="1:8" x14ac:dyDescent="0.2">
      <c r="A108" s="21" t="s">
        <v>40</v>
      </c>
      <c r="B108" s="21" t="s">
        <v>18</v>
      </c>
      <c r="C108" s="21" t="s">
        <v>18</v>
      </c>
      <c r="D108" s="21">
        <v>1</v>
      </c>
      <c r="E108" s="21" t="str">
        <f t="shared" si="2"/>
        <v>Liste!DD1</v>
      </c>
      <c r="F108" s="21">
        <v>108</v>
      </c>
      <c r="G108" s="21" t="s">
        <v>41</v>
      </c>
      <c r="H108" s="21" t="str">
        <f t="shared" si="3"/>
        <v>INDEX(Liste;$E$2;108)</v>
      </c>
    </row>
    <row r="109" spans="1:8" x14ac:dyDescent="0.2">
      <c r="A109" s="21" t="s">
        <v>40</v>
      </c>
      <c r="B109" s="21" t="s">
        <v>18</v>
      </c>
      <c r="C109" s="21" t="s">
        <v>19</v>
      </c>
      <c r="D109" s="21">
        <v>1</v>
      </c>
      <c r="E109" s="21" t="str">
        <f t="shared" si="2"/>
        <v>Liste!DE1</v>
      </c>
      <c r="F109" s="21">
        <v>109</v>
      </c>
      <c r="G109" s="21" t="s">
        <v>41</v>
      </c>
      <c r="H109" s="21" t="str">
        <f t="shared" si="3"/>
        <v>INDEX(Liste;$E$2;109)</v>
      </c>
    </row>
    <row r="110" spans="1:8" x14ac:dyDescent="0.2">
      <c r="A110" s="21" t="s">
        <v>40</v>
      </c>
      <c r="B110" s="21" t="s">
        <v>18</v>
      </c>
      <c r="C110" s="21" t="s">
        <v>20</v>
      </c>
      <c r="D110" s="21">
        <v>1</v>
      </c>
      <c r="E110" s="21" t="str">
        <f t="shared" si="2"/>
        <v>Liste!DF1</v>
      </c>
      <c r="F110" s="21">
        <v>110</v>
      </c>
      <c r="G110" s="21" t="s">
        <v>41</v>
      </c>
      <c r="H110" s="21" t="str">
        <f t="shared" si="3"/>
        <v>INDEX(Liste;$E$2;110)</v>
      </c>
    </row>
    <row r="111" spans="1:8" x14ac:dyDescent="0.2">
      <c r="A111" s="21" t="s">
        <v>40</v>
      </c>
      <c r="B111" s="21" t="s">
        <v>18</v>
      </c>
      <c r="C111" s="21" t="s">
        <v>21</v>
      </c>
      <c r="D111" s="21">
        <v>1</v>
      </c>
      <c r="E111" s="21" t="str">
        <f t="shared" si="2"/>
        <v>Liste!DG1</v>
      </c>
      <c r="F111" s="21">
        <v>111</v>
      </c>
      <c r="G111" s="21" t="s">
        <v>41</v>
      </c>
      <c r="H111" s="21" t="str">
        <f t="shared" si="3"/>
        <v>INDEX(Liste;$E$2;111)</v>
      </c>
    </row>
    <row r="112" spans="1:8" x14ac:dyDescent="0.2">
      <c r="A112" s="21" t="s">
        <v>40</v>
      </c>
      <c r="B112" s="21" t="s">
        <v>18</v>
      </c>
      <c r="C112" s="21" t="s">
        <v>22</v>
      </c>
      <c r="D112" s="21">
        <v>1</v>
      </c>
      <c r="E112" s="21" t="str">
        <f t="shared" si="2"/>
        <v>Liste!DH1</v>
      </c>
      <c r="F112" s="21">
        <v>112</v>
      </c>
      <c r="G112" s="21" t="s">
        <v>41</v>
      </c>
      <c r="H112" s="21" t="str">
        <f t="shared" si="3"/>
        <v>INDEX(Liste;$E$2;112)</v>
      </c>
    </row>
    <row r="113" spans="1:8" x14ac:dyDescent="0.2">
      <c r="A113" s="21" t="s">
        <v>40</v>
      </c>
      <c r="B113" s="21" t="s">
        <v>18</v>
      </c>
      <c r="C113" s="21" t="s">
        <v>23</v>
      </c>
      <c r="D113" s="21">
        <v>1</v>
      </c>
      <c r="E113" s="21" t="str">
        <f t="shared" si="2"/>
        <v>Liste!DI1</v>
      </c>
      <c r="F113" s="21">
        <v>113</v>
      </c>
      <c r="G113" s="21" t="s">
        <v>41</v>
      </c>
      <c r="H113" s="21" t="str">
        <f t="shared" si="3"/>
        <v>INDEX(Liste;$E$2;113)</v>
      </c>
    </row>
    <row r="114" spans="1:8" x14ac:dyDescent="0.2">
      <c r="A114" s="21" t="s">
        <v>40</v>
      </c>
      <c r="B114" s="21" t="s">
        <v>18</v>
      </c>
      <c r="C114" s="21" t="s">
        <v>24</v>
      </c>
      <c r="D114" s="21">
        <v>1</v>
      </c>
      <c r="E114" s="21" t="str">
        <f t="shared" si="2"/>
        <v>Liste!DJ1</v>
      </c>
      <c r="F114" s="21">
        <v>114</v>
      </c>
      <c r="G114" s="21" t="s">
        <v>41</v>
      </c>
      <c r="H114" s="21" t="str">
        <f t="shared" si="3"/>
        <v>INDEX(Liste;$E$2;114)</v>
      </c>
    </row>
    <row r="115" spans="1:8" x14ac:dyDescent="0.2">
      <c r="A115" s="21" t="s">
        <v>40</v>
      </c>
      <c r="B115" s="21" t="s">
        <v>18</v>
      </c>
      <c r="C115" s="21" t="s">
        <v>25</v>
      </c>
      <c r="D115" s="21">
        <v>1</v>
      </c>
      <c r="E115" s="21" t="str">
        <f t="shared" si="2"/>
        <v>Liste!DK1</v>
      </c>
      <c r="F115" s="21">
        <v>115</v>
      </c>
      <c r="G115" s="21" t="s">
        <v>41</v>
      </c>
      <c r="H115" s="21" t="str">
        <f t="shared" si="3"/>
        <v>INDEX(Liste;$E$2;115)</v>
      </c>
    </row>
    <row r="116" spans="1:8" x14ac:dyDescent="0.2">
      <c r="A116" s="21" t="s">
        <v>40</v>
      </c>
      <c r="B116" s="21" t="s">
        <v>18</v>
      </c>
      <c r="C116" s="21" t="s">
        <v>26</v>
      </c>
      <c r="D116" s="21">
        <v>1</v>
      </c>
      <c r="E116" s="21" t="str">
        <f t="shared" si="2"/>
        <v>Liste!DL1</v>
      </c>
      <c r="F116" s="21">
        <v>116</v>
      </c>
      <c r="G116" s="21" t="s">
        <v>41</v>
      </c>
      <c r="H116" s="21" t="str">
        <f t="shared" si="3"/>
        <v>INDEX(Liste;$E$2;116)</v>
      </c>
    </row>
    <row r="117" spans="1:8" x14ac:dyDescent="0.2">
      <c r="A117" s="21" t="s">
        <v>40</v>
      </c>
      <c r="B117" s="21" t="s">
        <v>18</v>
      </c>
      <c r="C117" s="21" t="s">
        <v>27</v>
      </c>
      <c r="D117" s="21">
        <v>1</v>
      </c>
      <c r="E117" s="21" t="str">
        <f t="shared" si="2"/>
        <v>Liste!DM1</v>
      </c>
      <c r="F117" s="21">
        <v>117</v>
      </c>
      <c r="G117" s="21" t="s">
        <v>41</v>
      </c>
      <c r="H117" s="21" t="str">
        <f t="shared" si="3"/>
        <v>INDEX(Liste;$E$2;117)</v>
      </c>
    </row>
    <row r="118" spans="1:8" x14ac:dyDescent="0.2">
      <c r="A118" s="21" t="s">
        <v>40</v>
      </c>
      <c r="B118" s="21" t="s">
        <v>18</v>
      </c>
      <c r="C118" s="21" t="s">
        <v>7</v>
      </c>
      <c r="D118" s="21">
        <v>1</v>
      </c>
      <c r="E118" s="21" t="str">
        <f t="shared" si="2"/>
        <v>Liste!DN1</v>
      </c>
      <c r="F118" s="21">
        <v>118</v>
      </c>
      <c r="G118" s="21" t="s">
        <v>41</v>
      </c>
      <c r="H118" s="21" t="str">
        <f t="shared" si="3"/>
        <v>INDEX(Liste;$E$2;118)</v>
      </c>
    </row>
    <row r="119" spans="1:8" x14ac:dyDescent="0.2">
      <c r="A119" s="21" t="s">
        <v>40</v>
      </c>
      <c r="B119" s="21" t="s">
        <v>18</v>
      </c>
      <c r="C119" s="21" t="s">
        <v>28</v>
      </c>
      <c r="D119" s="21">
        <v>1</v>
      </c>
      <c r="E119" s="21" t="str">
        <f t="shared" si="2"/>
        <v>Liste!DO1</v>
      </c>
      <c r="F119" s="21">
        <v>119</v>
      </c>
      <c r="G119" s="21" t="s">
        <v>41</v>
      </c>
      <c r="H119" s="21" t="str">
        <f t="shared" si="3"/>
        <v>INDEX(Liste;$E$2;119)</v>
      </c>
    </row>
    <row r="120" spans="1:8" x14ac:dyDescent="0.2">
      <c r="A120" s="21" t="s">
        <v>40</v>
      </c>
      <c r="B120" s="21" t="s">
        <v>18</v>
      </c>
      <c r="C120" s="21" t="s">
        <v>29</v>
      </c>
      <c r="D120" s="21">
        <v>1</v>
      </c>
      <c r="E120" s="21" t="str">
        <f t="shared" si="2"/>
        <v>Liste!DP1</v>
      </c>
      <c r="F120" s="21">
        <v>120</v>
      </c>
      <c r="G120" s="21" t="s">
        <v>41</v>
      </c>
      <c r="H120" s="21" t="str">
        <f t="shared" si="3"/>
        <v>INDEX(Liste;$E$2;120)</v>
      </c>
    </row>
    <row r="121" spans="1:8" x14ac:dyDescent="0.2">
      <c r="A121" s="21" t="s">
        <v>40</v>
      </c>
      <c r="B121" s="21" t="s">
        <v>18</v>
      </c>
      <c r="C121" s="21" t="s">
        <v>30</v>
      </c>
      <c r="D121" s="21">
        <v>1</v>
      </c>
      <c r="E121" s="21" t="str">
        <f t="shared" si="2"/>
        <v>Liste!DQ1</v>
      </c>
      <c r="F121" s="21">
        <v>121</v>
      </c>
      <c r="G121" s="21" t="s">
        <v>41</v>
      </c>
      <c r="H121" s="21" t="str">
        <f t="shared" si="3"/>
        <v>INDEX(Liste;$E$2;121)</v>
      </c>
    </row>
    <row r="122" spans="1:8" x14ac:dyDescent="0.2">
      <c r="A122" s="21" t="s">
        <v>40</v>
      </c>
      <c r="B122" s="21" t="s">
        <v>18</v>
      </c>
      <c r="C122" s="21" t="s">
        <v>31</v>
      </c>
      <c r="D122" s="21">
        <v>1</v>
      </c>
      <c r="E122" s="21" t="str">
        <f t="shared" si="2"/>
        <v>Liste!DR1</v>
      </c>
      <c r="F122" s="21">
        <v>122</v>
      </c>
      <c r="G122" s="21" t="s">
        <v>41</v>
      </c>
      <c r="H122" s="21" t="str">
        <f t="shared" si="3"/>
        <v>INDEX(Liste;$E$2;122)</v>
      </c>
    </row>
    <row r="123" spans="1:8" x14ac:dyDescent="0.2">
      <c r="A123" s="21" t="s">
        <v>40</v>
      </c>
      <c r="B123" s="21" t="s">
        <v>18</v>
      </c>
      <c r="C123" s="21" t="s">
        <v>32</v>
      </c>
      <c r="D123" s="21">
        <v>1</v>
      </c>
      <c r="E123" s="21" t="str">
        <f t="shared" si="2"/>
        <v>Liste!DS1</v>
      </c>
      <c r="F123" s="21">
        <v>123</v>
      </c>
      <c r="G123" s="21" t="s">
        <v>41</v>
      </c>
      <c r="H123" s="21" t="str">
        <f t="shared" si="3"/>
        <v>INDEX(Liste;$E$2;123)</v>
      </c>
    </row>
    <row r="124" spans="1:8" x14ac:dyDescent="0.2">
      <c r="A124" s="21" t="s">
        <v>40</v>
      </c>
      <c r="B124" s="21" t="s">
        <v>18</v>
      </c>
      <c r="C124" s="21" t="s">
        <v>33</v>
      </c>
      <c r="D124" s="21">
        <v>1</v>
      </c>
      <c r="E124" s="21" t="str">
        <f t="shared" si="2"/>
        <v>Liste!DT1</v>
      </c>
      <c r="F124" s="21">
        <v>124</v>
      </c>
      <c r="G124" s="21" t="s">
        <v>41</v>
      </c>
      <c r="H124" s="21" t="str">
        <f t="shared" si="3"/>
        <v>INDEX(Liste;$E$2;124)</v>
      </c>
    </row>
    <row r="125" spans="1:8" x14ac:dyDescent="0.2">
      <c r="A125" s="21" t="s">
        <v>40</v>
      </c>
      <c r="B125" s="21" t="s">
        <v>18</v>
      </c>
      <c r="C125" s="21" t="s">
        <v>34</v>
      </c>
      <c r="D125" s="21">
        <v>1</v>
      </c>
      <c r="E125" s="21" t="str">
        <f t="shared" si="2"/>
        <v>Liste!DU1</v>
      </c>
      <c r="F125" s="21">
        <v>125</v>
      </c>
      <c r="G125" s="21" t="s">
        <v>41</v>
      </c>
      <c r="H125" s="21" t="str">
        <f t="shared" si="3"/>
        <v>INDEX(Liste;$E$2;125)</v>
      </c>
    </row>
    <row r="126" spans="1:8" x14ac:dyDescent="0.2">
      <c r="A126" s="21" t="s">
        <v>40</v>
      </c>
      <c r="B126" s="21" t="s">
        <v>18</v>
      </c>
      <c r="C126" s="21" t="s">
        <v>35</v>
      </c>
      <c r="D126" s="21">
        <v>1</v>
      </c>
      <c r="E126" s="21" t="str">
        <f t="shared" si="2"/>
        <v>Liste!DV1</v>
      </c>
      <c r="F126" s="21">
        <v>126</v>
      </c>
      <c r="G126" s="21" t="s">
        <v>41</v>
      </c>
      <c r="H126" s="21" t="str">
        <f t="shared" si="3"/>
        <v>INDEX(Liste;$E$2;126)</v>
      </c>
    </row>
    <row r="127" spans="1:8" x14ac:dyDescent="0.2">
      <c r="A127" s="21" t="s">
        <v>40</v>
      </c>
      <c r="B127" s="21" t="s">
        <v>18</v>
      </c>
      <c r="C127" s="21" t="s">
        <v>36</v>
      </c>
      <c r="D127" s="21">
        <v>1</v>
      </c>
      <c r="E127" s="21" t="str">
        <f t="shared" si="2"/>
        <v>Liste!DW1</v>
      </c>
      <c r="F127" s="21">
        <v>127</v>
      </c>
      <c r="G127" s="21" t="s">
        <v>41</v>
      </c>
      <c r="H127" s="21" t="str">
        <f t="shared" si="3"/>
        <v>INDEX(Liste;$E$2;127)</v>
      </c>
    </row>
    <row r="128" spans="1:8" x14ac:dyDescent="0.2">
      <c r="A128" s="21" t="s">
        <v>40</v>
      </c>
      <c r="B128" s="21" t="s">
        <v>18</v>
      </c>
      <c r="C128" s="21" t="s">
        <v>37</v>
      </c>
      <c r="D128" s="21">
        <v>1</v>
      </c>
      <c r="E128" s="21" t="str">
        <f t="shared" si="2"/>
        <v>Liste!DX1</v>
      </c>
      <c r="F128" s="21">
        <v>128</v>
      </c>
      <c r="G128" s="21" t="s">
        <v>41</v>
      </c>
      <c r="H128" s="21" t="str">
        <f t="shared" si="3"/>
        <v>INDEX(Liste;$E$2;128)</v>
      </c>
    </row>
    <row r="129" spans="1:8" x14ac:dyDescent="0.2">
      <c r="A129" s="21" t="s">
        <v>40</v>
      </c>
      <c r="B129" s="21" t="s">
        <v>18</v>
      </c>
      <c r="C129" s="21" t="s">
        <v>38</v>
      </c>
      <c r="D129" s="21">
        <v>1</v>
      </c>
      <c r="E129" s="21" t="str">
        <f t="shared" si="2"/>
        <v>Liste!DY1</v>
      </c>
      <c r="F129" s="21">
        <v>129</v>
      </c>
      <c r="G129" s="21" t="s">
        <v>41</v>
      </c>
      <c r="H129" s="21" t="str">
        <f t="shared" si="3"/>
        <v>INDEX(Liste;$E$2;129)</v>
      </c>
    </row>
    <row r="130" spans="1:8" x14ac:dyDescent="0.2">
      <c r="A130" s="21" t="s">
        <v>40</v>
      </c>
      <c r="B130" s="21" t="s">
        <v>18</v>
      </c>
      <c r="C130" s="21" t="s">
        <v>39</v>
      </c>
      <c r="D130" s="21">
        <v>1</v>
      </c>
      <c r="E130" s="21" t="str">
        <f t="shared" ref="E130:E193" si="4">A130&amp;B130&amp;C130&amp;D130</f>
        <v>Liste!DZ1</v>
      </c>
      <c r="F130" s="21">
        <v>130</v>
      </c>
      <c r="G130" s="21" t="s">
        <v>41</v>
      </c>
      <c r="H130" s="21" t="str">
        <f t="shared" si="3"/>
        <v>INDEX(Liste;$E$2;130)</v>
      </c>
    </row>
    <row r="131" spans="1:8" x14ac:dyDescent="0.2">
      <c r="A131" s="21" t="s">
        <v>40</v>
      </c>
      <c r="B131" s="21" t="s">
        <v>19</v>
      </c>
      <c r="C131" s="21" t="s">
        <v>15</v>
      </c>
      <c r="D131" s="21">
        <v>1</v>
      </c>
      <c r="E131" s="21" t="str">
        <f t="shared" si="4"/>
        <v>Liste!EA1</v>
      </c>
      <c r="F131" s="21">
        <v>131</v>
      </c>
      <c r="G131" s="21" t="s">
        <v>41</v>
      </c>
      <c r="H131" s="21" t="str">
        <f t="shared" ref="H131:H194" si="5">G131&amp;F131&amp;")"</f>
        <v>INDEX(Liste;$E$2;131)</v>
      </c>
    </row>
    <row r="132" spans="1:8" x14ac:dyDescent="0.2">
      <c r="A132" s="21" t="s">
        <v>40</v>
      </c>
      <c r="B132" s="21" t="s">
        <v>19</v>
      </c>
      <c r="C132" s="21" t="s">
        <v>16</v>
      </c>
      <c r="D132" s="21">
        <v>1</v>
      </c>
      <c r="E132" s="21" t="str">
        <f t="shared" si="4"/>
        <v>Liste!EB1</v>
      </c>
      <c r="F132" s="21">
        <v>132</v>
      </c>
      <c r="G132" s="21" t="s">
        <v>41</v>
      </c>
      <c r="H132" s="21" t="str">
        <f t="shared" si="5"/>
        <v>INDEX(Liste;$E$2;132)</v>
      </c>
    </row>
    <row r="133" spans="1:8" x14ac:dyDescent="0.2">
      <c r="A133" s="21" t="s">
        <v>40</v>
      </c>
      <c r="B133" s="21" t="s">
        <v>19</v>
      </c>
      <c r="C133" s="21" t="s">
        <v>17</v>
      </c>
      <c r="D133" s="21">
        <v>1</v>
      </c>
      <c r="E133" s="21" t="str">
        <f t="shared" si="4"/>
        <v>Liste!EC1</v>
      </c>
      <c r="F133" s="21">
        <v>133</v>
      </c>
      <c r="G133" s="21" t="s">
        <v>41</v>
      </c>
      <c r="H133" s="21" t="str">
        <f t="shared" si="5"/>
        <v>INDEX(Liste;$E$2;133)</v>
      </c>
    </row>
    <row r="134" spans="1:8" x14ac:dyDescent="0.2">
      <c r="A134" s="21" t="s">
        <v>40</v>
      </c>
      <c r="B134" s="21" t="s">
        <v>19</v>
      </c>
      <c r="C134" s="21" t="s">
        <v>18</v>
      </c>
      <c r="D134" s="21">
        <v>1</v>
      </c>
      <c r="E134" s="21" t="str">
        <f t="shared" si="4"/>
        <v>Liste!ED1</v>
      </c>
      <c r="F134" s="21">
        <v>134</v>
      </c>
      <c r="G134" s="21" t="s">
        <v>41</v>
      </c>
      <c r="H134" s="21" t="str">
        <f t="shared" si="5"/>
        <v>INDEX(Liste;$E$2;134)</v>
      </c>
    </row>
    <row r="135" spans="1:8" x14ac:dyDescent="0.2">
      <c r="A135" s="21" t="s">
        <v>40</v>
      </c>
      <c r="B135" s="21" t="s">
        <v>19</v>
      </c>
      <c r="C135" s="21" t="s">
        <v>19</v>
      </c>
      <c r="D135" s="21">
        <v>1</v>
      </c>
      <c r="E135" s="21" t="str">
        <f t="shared" si="4"/>
        <v>Liste!EE1</v>
      </c>
      <c r="F135" s="21">
        <v>135</v>
      </c>
      <c r="G135" s="21" t="s">
        <v>41</v>
      </c>
      <c r="H135" s="21" t="str">
        <f t="shared" si="5"/>
        <v>INDEX(Liste;$E$2;135)</v>
      </c>
    </row>
    <row r="136" spans="1:8" x14ac:dyDescent="0.2">
      <c r="A136" s="21" t="s">
        <v>40</v>
      </c>
      <c r="B136" s="21" t="s">
        <v>19</v>
      </c>
      <c r="C136" s="21" t="s">
        <v>20</v>
      </c>
      <c r="D136" s="21">
        <v>1</v>
      </c>
      <c r="E136" s="21" t="str">
        <f t="shared" si="4"/>
        <v>Liste!EF1</v>
      </c>
      <c r="F136" s="21">
        <v>136</v>
      </c>
      <c r="G136" s="21" t="s">
        <v>41</v>
      </c>
      <c r="H136" s="21" t="str">
        <f t="shared" si="5"/>
        <v>INDEX(Liste;$E$2;136)</v>
      </c>
    </row>
    <row r="137" spans="1:8" x14ac:dyDescent="0.2">
      <c r="A137" s="21" t="s">
        <v>40</v>
      </c>
      <c r="B137" s="21" t="s">
        <v>19</v>
      </c>
      <c r="C137" s="21" t="s">
        <v>21</v>
      </c>
      <c r="D137" s="21">
        <v>1</v>
      </c>
      <c r="E137" s="21" t="str">
        <f t="shared" si="4"/>
        <v>Liste!EG1</v>
      </c>
      <c r="F137" s="21">
        <v>137</v>
      </c>
      <c r="G137" s="21" t="s">
        <v>41</v>
      </c>
      <c r="H137" s="21" t="str">
        <f t="shared" si="5"/>
        <v>INDEX(Liste;$E$2;137)</v>
      </c>
    </row>
    <row r="138" spans="1:8" x14ac:dyDescent="0.2">
      <c r="A138" s="21" t="s">
        <v>40</v>
      </c>
      <c r="B138" s="21" t="s">
        <v>19</v>
      </c>
      <c r="C138" s="21" t="s">
        <v>22</v>
      </c>
      <c r="D138" s="21">
        <v>1</v>
      </c>
      <c r="E138" s="21" t="str">
        <f t="shared" si="4"/>
        <v>Liste!EH1</v>
      </c>
      <c r="F138" s="21">
        <v>138</v>
      </c>
      <c r="G138" s="21" t="s">
        <v>41</v>
      </c>
      <c r="H138" s="21" t="str">
        <f t="shared" si="5"/>
        <v>INDEX(Liste;$E$2;138)</v>
      </c>
    </row>
    <row r="139" spans="1:8" x14ac:dyDescent="0.2">
      <c r="A139" s="21" t="s">
        <v>40</v>
      </c>
      <c r="B139" s="21" t="s">
        <v>19</v>
      </c>
      <c r="C139" s="21" t="s">
        <v>23</v>
      </c>
      <c r="D139" s="21">
        <v>1</v>
      </c>
      <c r="E139" s="21" t="str">
        <f t="shared" si="4"/>
        <v>Liste!EI1</v>
      </c>
      <c r="F139" s="21">
        <v>139</v>
      </c>
      <c r="G139" s="21" t="s">
        <v>41</v>
      </c>
      <c r="H139" s="21" t="str">
        <f t="shared" si="5"/>
        <v>INDEX(Liste;$E$2;139)</v>
      </c>
    </row>
    <row r="140" spans="1:8" x14ac:dyDescent="0.2">
      <c r="A140" s="21" t="s">
        <v>40</v>
      </c>
      <c r="B140" s="21" t="s">
        <v>19</v>
      </c>
      <c r="C140" s="21" t="s">
        <v>24</v>
      </c>
      <c r="D140" s="21">
        <v>1</v>
      </c>
      <c r="E140" s="21" t="str">
        <f t="shared" si="4"/>
        <v>Liste!EJ1</v>
      </c>
      <c r="F140" s="21">
        <v>140</v>
      </c>
      <c r="G140" s="21" t="s">
        <v>41</v>
      </c>
      <c r="H140" s="21" t="str">
        <f t="shared" si="5"/>
        <v>INDEX(Liste;$E$2;140)</v>
      </c>
    </row>
    <row r="141" spans="1:8" x14ac:dyDescent="0.2">
      <c r="A141" s="21" t="s">
        <v>40</v>
      </c>
      <c r="B141" s="21" t="s">
        <v>19</v>
      </c>
      <c r="C141" s="21" t="s">
        <v>25</v>
      </c>
      <c r="D141" s="21">
        <v>1</v>
      </c>
      <c r="E141" s="21" t="str">
        <f t="shared" si="4"/>
        <v>Liste!EK1</v>
      </c>
      <c r="F141" s="21">
        <v>141</v>
      </c>
      <c r="G141" s="21" t="s">
        <v>41</v>
      </c>
      <c r="H141" s="21" t="str">
        <f t="shared" si="5"/>
        <v>INDEX(Liste;$E$2;141)</v>
      </c>
    </row>
    <row r="142" spans="1:8" x14ac:dyDescent="0.2">
      <c r="A142" s="21" t="s">
        <v>40</v>
      </c>
      <c r="B142" s="21" t="s">
        <v>19</v>
      </c>
      <c r="C142" s="21" t="s">
        <v>26</v>
      </c>
      <c r="D142" s="21">
        <v>1</v>
      </c>
      <c r="E142" s="21" t="str">
        <f t="shared" si="4"/>
        <v>Liste!EL1</v>
      </c>
      <c r="F142" s="21">
        <v>142</v>
      </c>
      <c r="G142" s="21" t="s">
        <v>41</v>
      </c>
      <c r="H142" s="21" t="str">
        <f t="shared" si="5"/>
        <v>INDEX(Liste;$E$2;142)</v>
      </c>
    </row>
    <row r="143" spans="1:8" x14ac:dyDescent="0.2">
      <c r="A143" s="21" t="s">
        <v>40</v>
      </c>
      <c r="B143" s="21" t="s">
        <v>19</v>
      </c>
      <c r="C143" s="21" t="s">
        <v>27</v>
      </c>
      <c r="D143" s="21">
        <v>1</v>
      </c>
      <c r="E143" s="21" t="str">
        <f t="shared" si="4"/>
        <v>Liste!EM1</v>
      </c>
      <c r="F143" s="21">
        <v>143</v>
      </c>
      <c r="G143" s="21" t="s">
        <v>41</v>
      </c>
      <c r="H143" s="21" t="str">
        <f t="shared" si="5"/>
        <v>INDEX(Liste;$E$2;143)</v>
      </c>
    </row>
    <row r="144" spans="1:8" x14ac:dyDescent="0.2">
      <c r="A144" s="21" t="s">
        <v>40</v>
      </c>
      <c r="B144" s="21" t="s">
        <v>19</v>
      </c>
      <c r="C144" s="21" t="s">
        <v>7</v>
      </c>
      <c r="D144" s="21">
        <v>1</v>
      </c>
      <c r="E144" s="21" t="str">
        <f t="shared" si="4"/>
        <v>Liste!EN1</v>
      </c>
      <c r="F144" s="21">
        <v>144</v>
      </c>
      <c r="G144" s="21" t="s">
        <v>41</v>
      </c>
      <c r="H144" s="21" t="str">
        <f t="shared" si="5"/>
        <v>INDEX(Liste;$E$2;144)</v>
      </c>
    </row>
    <row r="145" spans="1:8" x14ac:dyDescent="0.2">
      <c r="A145" s="21" t="s">
        <v>40</v>
      </c>
      <c r="B145" s="21" t="s">
        <v>19</v>
      </c>
      <c r="C145" s="21" t="s">
        <v>28</v>
      </c>
      <c r="D145" s="21">
        <v>1</v>
      </c>
      <c r="E145" s="21" t="str">
        <f t="shared" si="4"/>
        <v>Liste!EO1</v>
      </c>
      <c r="F145" s="21">
        <v>145</v>
      </c>
      <c r="G145" s="21" t="s">
        <v>41</v>
      </c>
      <c r="H145" s="21" t="str">
        <f t="shared" si="5"/>
        <v>INDEX(Liste;$E$2;145)</v>
      </c>
    </row>
    <row r="146" spans="1:8" x14ac:dyDescent="0.2">
      <c r="A146" s="21" t="s">
        <v>40</v>
      </c>
      <c r="B146" s="21" t="s">
        <v>19</v>
      </c>
      <c r="C146" s="21" t="s">
        <v>29</v>
      </c>
      <c r="D146" s="21">
        <v>1</v>
      </c>
      <c r="E146" s="21" t="str">
        <f t="shared" si="4"/>
        <v>Liste!EP1</v>
      </c>
      <c r="F146" s="21">
        <v>146</v>
      </c>
      <c r="G146" s="21" t="s">
        <v>41</v>
      </c>
      <c r="H146" s="21" t="str">
        <f t="shared" si="5"/>
        <v>INDEX(Liste;$E$2;146)</v>
      </c>
    </row>
    <row r="147" spans="1:8" x14ac:dyDescent="0.2">
      <c r="A147" s="21" t="s">
        <v>40</v>
      </c>
      <c r="B147" s="21" t="s">
        <v>19</v>
      </c>
      <c r="C147" s="21" t="s">
        <v>30</v>
      </c>
      <c r="D147" s="21">
        <v>1</v>
      </c>
      <c r="E147" s="21" t="str">
        <f t="shared" si="4"/>
        <v>Liste!EQ1</v>
      </c>
      <c r="F147" s="21">
        <v>147</v>
      </c>
      <c r="G147" s="21" t="s">
        <v>41</v>
      </c>
      <c r="H147" s="21" t="str">
        <f t="shared" si="5"/>
        <v>INDEX(Liste;$E$2;147)</v>
      </c>
    </row>
    <row r="148" spans="1:8" x14ac:dyDescent="0.2">
      <c r="A148" s="21" t="s">
        <v>40</v>
      </c>
      <c r="B148" s="21" t="s">
        <v>19</v>
      </c>
      <c r="C148" s="21" t="s">
        <v>31</v>
      </c>
      <c r="D148" s="21">
        <v>1</v>
      </c>
      <c r="E148" s="21" t="str">
        <f t="shared" si="4"/>
        <v>Liste!ER1</v>
      </c>
      <c r="F148" s="21">
        <v>148</v>
      </c>
      <c r="G148" s="21" t="s">
        <v>41</v>
      </c>
      <c r="H148" s="21" t="str">
        <f t="shared" si="5"/>
        <v>INDEX(Liste;$E$2;148)</v>
      </c>
    </row>
    <row r="149" spans="1:8" x14ac:dyDescent="0.2">
      <c r="A149" s="21" t="s">
        <v>40</v>
      </c>
      <c r="B149" s="21" t="s">
        <v>19</v>
      </c>
      <c r="C149" s="21" t="s">
        <v>32</v>
      </c>
      <c r="D149" s="21">
        <v>1</v>
      </c>
      <c r="E149" s="21" t="str">
        <f t="shared" si="4"/>
        <v>Liste!ES1</v>
      </c>
      <c r="F149" s="21">
        <v>149</v>
      </c>
      <c r="G149" s="21" t="s">
        <v>41</v>
      </c>
      <c r="H149" s="21" t="str">
        <f t="shared" si="5"/>
        <v>INDEX(Liste;$E$2;149)</v>
      </c>
    </row>
    <row r="150" spans="1:8" x14ac:dyDescent="0.2">
      <c r="A150" s="21" t="s">
        <v>40</v>
      </c>
      <c r="B150" s="21" t="s">
        <v>19</v>
      </c>
      <c r="C150" s="21" t="s">
        <v>33</v>
      </c>
      <c r="D150" s="21">
        <v>1</v>
      </c>
      <c r="E150" s="21" t="str">
        <f t="shared" si="4"/>
        <v>Liste!ET1</v>
      </c>
      <c r="F150" s="21">
        <v>150</v>
      </c>
      <c r="G150" s="21" t="s">
        <v>41</v>
      </c>
      <c r="H150" s="21" t="str">
        <f t="shared" si="5"/>
        <v>INDEX(Liste;$E$2;150)</v>
      </c>
    </row>
    <row r="151" spans="1:8" x14ac:dyDescent="0.2">
      <c r="A151" s="21" t="s">
        <v>40</v>
      </c>
      <c r="B151" s="21" t="s">
        <v>19</v>
      </c>
      <c r="C151" s="21" t="s">
        <v>34</v>
      </c>
      <c r="D151" s="21">
        <v>1</v>
      </c>
      <c r="E151" s="21" t="str">
        <f t="shared" si="4"/>
        <v>Liste!EU1</v>
      </c>
      <c r="F151" s="21">
        <v>151</v>
      </c>
      <c r="G151" s="21" t="s">
        <v>41</v>
      </c>
      <c r="H151" s="21" t="str">
        <f t="shared" si="5"/>
        <v>INDEX(Liste;$E$2;151)</v>
      </c>
    </row>
    <row r="152" spans="1:8" x14ac:dyDescent="0.2">
      <c r="A152" s="21" t="s">
        <v>40</v>
      </c>
      <c r="B152" s="21" t="s">
        <v>19</v>
      </c>
      <c r="C152" s="21" t="s">
        <v>35</v>
      </c>
      <c r="D152" s="21">
        <v>1</v>
      </c>
      <c r="E152" s="21" t="str">
        <f t="shared" si="4"/>
        <v>Liste!EV1</v>
      </c>
      <c r="F152" s="21">
        <v>152</v>
      </c>
      <c r="G152" s="21" t="s">
        <v>41</v>
      </c>
      <c r="H152" s="21" t="str">
        <f t="shared" si="5"/>
        <v>INDEX(Liste;$E$2;152)</v>
      </c>
    </row>
    <row r="153" spans="1:8" x14ac:dyDescent="0.2">
      <c r="A153" s="21" t="s">
        <v>40</v>
      </c>
      <c r="B153" s="21" t="s">
        <v>19</v>
      </c>
      <c r="C153" s="21" t="s">
        <v>36</v>
      </c>
      <c r="D153" s="21">
        <v>1</v>
      </c>
      <c r="E153" s="21" t="str">
        <f t="shared" si="4"/>
        <v>Liste!EW1</v>
      </c>
      <c r="F153" s="21">
        <v>153</v>
      </c>
      <c r="G153" s="21" t="s">
        <v>41</v>
      </c>
      <c r="H153" s="21" t="str">
        <f t="shared" si="5"/>
        <v>INDEX(Liste;$E$2;153)</v>
      </c>
    </row>
    <row r="154" spans="1:8" x14ac:dyDescent="0.2">
      <c r="A154" s="21" t="s">
        <v>40</v>
      </c>
      <c r="B154" s="21" t="s">
        <v>19</v>
      </c>
      <c r="C154" s="21" t="s">
        <v>37</v>
      </c>
      <c r="D154" s="21">
        <v>1</v>
      </c>
      <c r="E154" s="21" t="str">
        <f t="shared" si="4"/>
        <v>Liste!EX1</v>
      </c>
      <c r="F154" s="21">
        <v>154</v>
      </c>
      <c r="G154" s="21" t="s">
        <v>41</v>
      </c>
      <c r="H154" s="21" t="str">
        <f t="shared" si="5"/>
        <v>INDEX(Liste;$E$2;154)</v>
      </c>
    </row>
    <row r="155" spans="1:8" x14ac:dyDescent="0.2">
      <c r="A155" s="21" t="s">
        <v>40</v>
      </c>
      <c r="B155" s="21" t="s">
        <v>19</v>
      </c>
      <c r="C155" s="21" t="s">
        <v>38</v>
      </c>
      <c r="D155" s="21">
        <v>1</v>
      </c>
      <c r="E155" s="21" t="str">
        <f t="shared" si="4"/>
        <v>Liste!EY1</v>
      </c>
      <c r="F155" s="21">
        <v>155</v>
      </c>
      <c r="G155" s="21" t="s">
        <v>41</v>
      </c>
      <c r="H155" s="21" t="str">
        <f t="shared" si="5"/>
        <v>INDEX(Liste;$E$2;155)</v>
      </c>
    </row>
    <row r="156" spans="1:8" x14ac:dyDescent="0.2">
      <c r="A156" s="21" t="s">
        <v>40</v>
      </c>
      <c r="B156" s="21" t="s">
        <v>19</v>
      </c>
      <c r="C156" s="21" t="s">
        <v>39</v>
      </c>
      <c r="D156" s="21">
        <v>1</v>
      </c>
      <c r="E156" s="21" t="str">
        <f t="shared" si="4"/>
        <v>Liste!EZ1</v>
      </c>
      <c r="F156" s="21">
        <v>156</v>
      </c>
      <c r="G156" s="21" t="s">
        <v>41</v>
      </c>
      <c r="H156" s="21" t="str">
        <f t="shared" si="5"/>
        <v>INDEX(Liste;$E$2;156)</v>
      </c>
    </row>
    <row r="157" spans="1:8" x14ac:dyDescent="0.2">
      <c r="A157" s="21" t="s">
        <v>40</v>
      </c>
      <c r="B157" s="21" t="s">
        <v>20</v>
      </c>
      <c r="C157" s="21" t="s">
        <v>15</v>
      </c>
      <c r="D157" s="21">
        <v>1</v>
      </c>
      <c r="E157" s="21" t="str">
        <f t="shared" si="4"/>
        <v>Liste!FA1</v>
      </c>
      <c r="F157" s="21">
        <v>157</v>
      </c>
      <c r="G157" s="21" t="s">
        <v>41</v>
      </c>
      <c r="H157" s="21" t="str">
        <f t="shared" si="5"/>
        <v>INDEX(Liste;$E$2;157)</v>
      </c>
    </row>
    <row r="158" spans="1:8" x14ac:dyDescent="0.2">
      <c r="A158" s="21" t="s">
        <v>40</v>
      </c>
      <c r="B158" s="21" t="s">
        <v>20</v>
      </c>
      <c r="C158" s="21" t="s">
        <v>16</v>
      </c>
      <c r="D158" s="21">
        <v>1</v>
      </c>
      <c r="E158" s="21" t="str">
        <f t="shared" si="4"/>
        <v>Liste!FB1</v>
      </c>
      <c r="F158" s="21">
        <v>158</v>
      </c>
      <c r="G158" s="21" t="s">
        <v>41</v>
      </c>
      <c r="H158" s="21" t="str">
        <f t="shared" si="5"/>
        <v>INDEX(Liste;$E$2;158)</v>
      </c>
    </row>
    <row r="159" spans="1:8" x14ac:dyDescent="0.2">
      <c r="A159" s="21" t="s">
        <v>40</v>
      </c>
      <c r="B159" s="21" t="s">
        <v>20</v>
      </c>
      <c r="C159" s="21" t="s">
        <v>17</v>
      </c>
      <c r="D159" s="21">
        <v>1</v>
      </c>
      <c r="E159" s="21" t="str">
        <f t="shared" si="4"/>
        <v>Liste!FC1</v>
      </c>
      <c r="F159" s="21">
        <v>159</v>
      </c>
      <c r="G159" s="21" t="s">
        <v>41</v>
      </c>
      <c r="H159" s="21" t="str">
        <f t="shared" si="5"/>
        <v>INDEX(Liste;$E$2;159)</v>
      </c>
    </row>
    <row r="160" spans="1:8" x14ac:dyDescent="0.2">
      <c r="A160" s="21" t="s">
        <v>40</v>
      </c>
      <c r="B160" s="21" t="s">
        <v>20</v>
      </c>
      <c r="C160" s="21" t="s">
        <v>18</v>
      </c>
      <c r="D160" s="21">
        <v>1</v>
      </c>
      <c r="E160" s="21" t="str">
        <f t="shared" si="4"/>
        <v>Liste!FD1</v>
      </c>
      <c r="F160" s="21">
        <v>160</v>
      </c>
      <c r="G160" s="21" t="s">
        <v>41</v>
      </c>
      <c r="H160" s="21" t="str">
        <f t="shared" si="5"/>
        <v>INDEX(Liste;$E$2;160)</v>
      </c>
    </row>
    <row r="161" spans="1:8" x14ac:dyDescent="0.2">
      <c r="A161" s="21" t="s">
        <v>40</v>
      </c>
      <c r="B161" s="21" t="s">
        <v>20</v>
      </c>
      <c r="C161" s="21" t="s">
        <v>19</v>
      </c>
      <c r="D161" s="21">
        <v>1</v>
      </c>
      <c r="E161" s="21" t="str">
        <f t="shared" si="4"/>
        <v>Liste!FE1</v>
      </c>
      <c r="F161" s="21">
        <v>161</v>
      </c>
      <c r="G161" s="21" t="s">
        <v>41</v>
      </c>
      <c r="H161" s="21" t="str">
        <f t="shared" si="5"/>
        <v>INDEX(Liste;$E$2;161)</v>
      </c>
    </row>
    <row r="162" spans="1:8" x14ac:dyDescent="0.2">
      <c r="A162" s="21" t="s">
        <v>40</v>
      </c>
      <c r="B162" s="21" t="s">
        <v>20</v>
      </c>
      <c r="C162" s="21" t="s">
        <v>20</v>
      </c>
      <c r="D162" s="21">
        <v>1</v>
      </c>
      <c r="E162" s="21" t="str">
        <f t="shared" si="4"/>
        <v>Liste!FF1</v>
      </c>
      <c r="F162" s="21">
        <v>162</v>
      </c>
      <c r="G162" s="21" t="s">
        <v>41</v>
      </c>
      <c r="H162" s="21" t="str">
        <f t="shared" si="5"/>
        <v>INDEX(Liste;$E$2;162)</v>
      </c>
    </row>
    <row r="163" spans="1:8" x14ac:dyDescent="0.2">
      <c r="A163" s="21" t="s">
        <v>40</v>
      </c>
      <c r="B163" s="21" t="s">
        <v>20</v>
      </c>
      <c r="C163" s="21" t="s">
        <v>21</v>
      </c>
      <c r="D163" s="21">
        <v>1</v>
      </c>
      <c r="E163" s="21" t="str">
        <f t="shared" si="4"/>
        <v>Liste!FG1</v>
      </c>
      <c r="F163" s="21">
        <v>163</v>
      </c>
      <c r="G163" s="21" t="s">
        <v>41</v>
      </c>
      <c r="H163" s="21" t="str">
        <f t="shared" si="5"/>
        <v>INDEX(Liste;$E$2;163)</v>
      </c>
    </row>
    <row r="164" spans="1:8" x14ac:dyDescent="0.2">
      <c r="A164" s="21" t="s">
        <v>40</v>
      </c>
      <c r="B164" s="21" t="s">
        <v>20</v>
      </c>
      <c r="C164" s="21" t="s">
        <v>22</v>
      </c>
      <c r="D164" s="21">
        <v>1</v>
      </c>
      <c r="E164" s="21" t="str">
        <f t="shared" si="4"/>
        <v>Liste!FH1</v>
      </c>
      <c r="F164" s="21">
        <v>164</v>
      </c>
      <c r="G164" s="21" t="s">
        <v>41</v>
      </c>
      <c r="H164" s="21" t="str">
        <f t="shared" si="5"/>
        <v>INDEX(Liste;$E$2;164)</v>
      </c>
    </row>
    <row r="165" spans="1:8" x14ac:dyDescent="0.2">
      <c r="A165" s="21" t="s">
        <v>40</v>
      </c>
      <c r="B165" s="21" t="s">
        <v>20</v>
      </c>
      <c r="C165" s="21" t="s">
        <v>23</v>
      </c>
      <c r="D165" s="21">
        <v>1</v>
      </c>
      <c r="E165" s="21" t="str">
        <f t="shared" si="4"/>
        <v>Liste!FI1</v>
      </c>
      <c r="F165" s="21">
        <v>165</v>
      </c>
      <c r="G165" s="21" t="s">
        <v>41</v>
      </c>
      <c r="H165" s="21" t="str">
        <f t="shared" si="5"/>
        <v>INDEX(Liste;$E$2;165)</v>
      </c>
    </row>
    <row r="166" spans="1:8" x14ac:dyDescent="0.2">
      <c r="A166" s="21" t="s">
        <v>40</v>
      </c>
      <c r="B166" s="21" t="s">
        <v>20</v>
      </c>
      <c r="C166" s="21" t="s">
        <v>24</v>
      </c>
      <c r="D166" s="21">
        <v>1</v>
      </c>
      <c r="E166" s="21" t="str">
        <f t="shared" si="4"/>
        <v>Liste!FJ1</v>
      </c>
      <c r="F166" s="21">
        <v>166</v>
      </c>
      <c r="G166" s="21" t="s">
        <v>41</v>
      </c>
      <c r="H166" s="21" t="str">
        <f t="shared" si="5"/>
        <v>INDEX(Liste;$E$2;166)</v>
      </c>
    </row>
    <row r="167" spans="1:8" x14ac:dyDescent="0.2">
      <c r="A167" s="21" t="s">
        <v>40</v>
      </c>
      <c r="B167" s="21" t="s">
        <v>20</v>
      </c>
      <c r="C167" s="21" t="s">
        <v>25</v>
      </c>
      <c r="D167" s="21">
        <v>1</v>
      </c>
      <c r="E167" s="21" t="str">
        <f t="shared" si="4"/>
        <v>Liste!FK1</v>
      </c>
      <c r="F167" s="21">
        <v>167</v>
      </c>
      <c r="G167" s="21" t="s">
        <v>41</v>
      </c>
      <c r="H167" s="21" t="str">
        <f t="shared" si="5"/>
        <v>INDEX(Liste;$E$2;167)</v>
      </c>
    </row>
    <row r="168" spans="1:8" x14ac:dyDescent="0.2">
      <c r="A168" s="21" t="s">
        <v>40</v>
      </c>
      <c r="B168" s="21" t="s">
        <v>20</v>
      </c>
      <c r="C168" s="21" t="s">
        <v>26</v>
      </c>
      <c r="D168" s="21">
        <v>1</v>
      </c>
      <c r="E168" s="21" t="str">
        <f t="shared" si="4"/>
        <v>Liste!FL1</v>
      </c>
      <c r="F168" s="21">
        <v>168</v>
      </c>
      <c r="G168" s="21" t="s">
        <v>41</v>
      </c>
      <c r="H168" s="21" t="str">
        <f t="shared" si="5"/>
        <v>INDEX(Liste;$E$2;168)</v>
      </c>
    </row>
    <row r="169" spans="1:8" x14ac:dyDescent="0.2">
      <c r="A169" s="21" t="s">
        <v>40</v>
      </c>
      <c r="B169" s="21" t="s">
        <v>20</v>
      </c>
      <c r="C169" s="21" t="s">
        <v>27</v>
      </c>
      <c r="D169" s="21">
        <v>1</v>
      </c>
      <c r="E169" s="21" t="str">
        <f t="shared" si="4"/>
        <v>Liste!FM1</v>
      </c>
      <c r="F169" s="21">
        <v>169</v>
      </c>
      <c r="G169" s="21" t="s">
        <v>41</v>
      </c>
      <c r="H169" s="21" t="str">
        <f t="shared" si="5"/>
        <v>INDEX(Liste;$E$2;169)</v>
      </c>
    </row>
    <row r="170" spans="1:8" x14ac:dyDescent="0.2">
      <c r="A170" s="21" t="s">
        <v>40</v>
      </c>
      <c r="B170" s="21" t="s">
        <v>20</v>
      </c>
      <c r="C170" s="21" t="s">
        <v>7</v>
      </c>
      <c r="D170" s="21">
        <v>1</v>
      </c>
      <c r="E170" s="21" t="str">
        <f t="shared" si="4"/>
        <v>Liste!FN1</v>
      </c>
      <c r="F170" s="21">
        <v>170</v>
      </c>
      <c r="G170" s="21" t="s">
        <v>41</v>
      </c>
      <c r="H170" s="21" t="str">
        <f t="shared" si="5"/>
        <v>INDEX(Liste;$E$2;170)</v>
      </c>
    </row>
    <row r="171" spans="1:8" x14ac:dyDescent="0.2">
      <c r="A171" s="21" t="s">
        <v>40</v>
      </c>
      <c r="B171" s="21" t="s">
        <v>20</v>
      </c>
      <c r="C171" s="21" t="s">
        <v>28</v>
      </c>
      <c r="D171" s="21">
        <v>1</v>
      </c>
      <c r="E171" s="21" t="str">
        <f t="shared" si="4"/>
        <v>Liste!FO1</v>
      </c>
      <c r="F171" s="21">
        <v>171</v>
      </c>
      <c r="G171" s="21" t="s">
        <v>41</v>
      </c>
      <c r="H171" s="21" t="str">
        <f t="shared" si="5"/>
        <v>INDEX(Liste;$E$2;171)</v>
      </c>
    </row>
    <row r="172" spans="1:8" x14ac:dyDescent="0.2">
      <c r="A172" s="21" t="s">
        <v>40</v>
      </c>
      <c r="B172" s="21" t="s">
        <v>20</v>
      </c>
      <c r="C172" s="21" t="s">
        <v>29</v>
      </c>
      <c r="D172" s="21">
        <v>1</v>
      </c>
      <c r="E172" s="21" t="str">
        <f t="shared" si="4"/>
        <v>Liste!FP1</v>
      </c>
      <c r="F172" s="21">
        <v>172</v>
      </c>
      <c r="G172" s="21" t="s">
        <v>41</v>
      </c>
      <c r="H172" s="21" t="str">
        <f t="shared" si="5"/>
        <v>INDEX(Liste;$E$2;172)</v>
      </c>
    </row>
    <row r="173" spans="1:8" x14ac:dyDescent="0.2">
      <c r="A173" s="21" t="s">
        <v>40</v>
      </c>
      <c r="B173" s="21" t="s">
        <v>20</v>
      </c>
      <c r="C173" s="21" t="s">
        <v>30</v>
      </c>
      <c r="D173" s="21">
        <v>1</v>
      </c>
      <c r="E173" s="21" t="str">
        <f t="shared" si="4"/>
        <v>Liste!FQ1</v>
      </c>
      <c r="F173" s="21">
        <v>173</v>
      </c>
      <c r="G173" s="21" t="s">
        <v>41</v>
      </c>
      <c r="H173" s="21" t="str">
        <f t="shared" si="5"/>
        <v>INDEX(Liste;$E$2;173)</v>
      </c>
    </row>
    <row r="174" spans="1:8" x14ac:dyDescent="0.2">
      <c r="A174" s="21" t="s">
        <v>40</v>
      </c>
      <c r="B174" s="21" t="s">
        <v>20</v>
      </c>
      <c r="C174" s="21" t="s">
        <v>31</v>
      </c>
      <c r="D174" s="21">
        <v>1</v>
      </c>
      <c r="E174" s="21" t="str">
        <f t="shared" si="4"/>
        <v>Liste!FR1</v>
      </c>
      <c r="F174" s="21">
        <v>174</v>
      </c>
      <c r="G174" s="21" t="s">
        <v>41</v>
      </c>
      <c r="H174" s="21" t="str">
        <f t="shared" si="5"/>
        <v>INDEX(Liste;$E$2;174)</v>
      </c>
    </row>
    <row r="175" spans="1:8" x14ac:dyDescent="0.2">
      <c r="A175" s="21" t="s">
        <v>40</v>
      </c>
      <c r="B175" s="21" t="s">
        <v>20</v>
      </c>
      <c r="C175" s="21" t="s">
        <v>32</v>
      </c>
      <c r="D175" s="21">
        <v>1</v>
      </c>
      <c r="E175" s="21" t="str">
        <f t="shared" si="4"/>
        <v>Liste!FS1</v>
      </c>
      <c r="F175" s="21">
        <v>175</v>
      </c>
      <c r="G175" s="21" t="s">
        <v>41</v>
      </c>
      <c r="H175" s="21" t="str">
        <f t="shared" si="5"/>
        <v>INDEX(Liste;$E$2;175)</v>
      </c>
    </row>
    <row r="176" spans="1:8" x14ac:dyDescent="0.2">
      <c r="A176" s="21" t="s">
        <v>40</v>
      </c>
      <c r="B176" s="21" t="s">
        <v>20</v>
      </c>
      <c r="C176" s="21" t="s">
        <v>33</v>
      </c>
      <c r="D176" s="21">
        <v>1</v>
      </c>
      <c r="E176" s="21" t="str">
        <f t="shared" si="4"/>
        <v>Liste!FT1</v>
      </c>
      <c r="F176" s="21">
        <v>176</v>
      </c>
      <c r="G176" s="21" t="s">
        <v>41</v>
      </c>
      <c r="H176" s="21" t="str">
        <f t="shared" si="5"/>
        <v>INDEX(Liste;$E$2;176)</v>
      </c>
    </row>
    <row r="177" spans="1:8" x14ac:dyDescent="0.2">
      <c r="A177" s="21" t="s">
        <v>40</v>
      </c>
      <c r="B177" s="21" t="s">
        <v>20</v>
      </c>
      <c r="C177" s="21" t="s">
        <v>34</v>
      </c>
      <c r="D177" s="21">
        <v>1</v>
      </c>
      <c r="E177" s="21" t="str">
        <f t="shared" si="4"/>
        <v>Liste!FU1</v>
      </c>
      <c r="F177" s="21">
        <v>177</v>
      </c>
      <c r="G177" s="21" t="s">
        <v>41</v>
      </c>
      <c r="H177" s="21" t="str">
        <f t="shared" si="5"/>
        <v>INDEX(Liste;$E$2;177)</v>
      </c>
    </row>
    <row r="178" spans="1:8" x14ac:dyDescent="0.2">
      <c r="A178" s="21" t="s">
        <v>40</v>
      </c>
      <c r="B178" s="21" t="s">
        <v>20</v>
      </c>
      <c r="C178" s="21" t="s">
        <v>35</v>
      </c>
      <c r="D178" s="21">
        <v>1</v>
      </c>
      <c r="E178" s="21" t="str">
        <f t="shared" si="4"/>
        <v>Liste!FV1</v>
      </c>
      <c r="F178" s="21">
        <v>178</v>
      </c>
      <c r="G178" s="21" t="s">
        <v>41</v>
      </c>
      <c r="H178" s="21" t="str">
        <f t="shared" si="5"/>
        <v>INDEX(Liste;$E$2;178)</v>
      </c>
    </row>
    <row r="179" spans="1:8" x14ac:dyDescent="0.2">
      <c r="A179" s="21" t="s">
        <v>40</v>
      </c>
      <c r="B179" s="21" t="s">
        <v>20</v>
      </c>
      <c r="C179" s="21" t="s">
        <v>36</v>
      </c>
      <c r="D179" s="21">
        <v>1</v>
      </c>
      <c r="E179" s="21" t="str">
        <f t="shared" si="4"/>
        <v>Liste!FW1</v>
      </c>
      <c r="F179" s="21">
        <v>179</v>
      </c>
      <c r="G179" s="21" t="s">
        <v>41</v>
      </c>
      <c r="H179" s="21" t="str">
        <f t="shared" si="5"/>
        <v>INDEX(Liste;$E$2;179)</v>
      </c>
    </row>
    <row r="180" spans="1:8" x14ac:dyDescent="0.2">
      <c r="A180" s="21" t="s">
        <v>40</v>
      </c>
      <c r="B180" s="21" t="s">
        <v>20</v>
      </c>
      <c r="C180" s="21" t="s">
        <v>37</v>
      </c>
      <c r="D180" s="21">
        <v>1</v>
      </c>
      <c r="E180" s="21" t="str">
        <f t="shared" si="4"/>
        <v>Liste!FX1</v>
      </c>
      <c r="F180" s="21">
        <v>180</v>
      </c>
      <c r="G180" s="21" t="s">
        <v>41</v>
      </c>
      <c r="H180" s="21" t="str">
        <f t="shared" si="5"/>
        <v>INDEX(Liste;$E$2;180)</v>
      </c>
    </row>
    <row r="181" spans="1:8" x14ac:dyDescent="0.2">
      <c r="A181" s="21" t="s">
        <v>40</v>
      </c>
      <c r="B181" s="21" t="s">
        <v>20</v>
      </c>
      <c r="C181" s="21" t="s">
        <v>38</v>
      </c>
      <c r="D181" s="21">
        <v>1</v>
      </c>
      <c r="E181" s="21" t="str">
        <f t="shared" si="4"/>
        <v>Liste!FY1</v>
      </c>
      <c r="F181" s="21">
        <v>181</v>
      </c>
      <c r="G181" s="21" t="s">
        <v>41</v>
      </c>
      <c r="H181" s="21" t="str">
        <f t="shared" si="5"/>
        <v>INDEX(Liste;$E$2;181)</v>
      </c>
    </row>
    <row r="182" spans="1:8" x14ac:dyDescent="0.2">
      <c r="A182" s="21" t="s">
        <v>40</v>
      </c>
      <c r="B182" s="21" t="s">
        <v>20</v>
      </c>
      <c r="C182" s="21" t="s">
        <v>39</v>
      </c>
      <c r="D182" s="21">
        <v>1</v>
      </c>
      <c r="E182" s="21" t="str">
        <f t="shared" si="4"/>
        <v>Liste!FZ1</v>
      </c>
      <c r="F182" s="21">
        <v>182</v>
      </c>
      <c r="G182" s="21" t="s">
        <v>41</v>
      </c>
      <c r="H182" s="21" t="str">
        <f t="shared" si="5"/>
        <v>INDEX(Liste;$E$2;182)</v>
      </c>
    </row>
    <row r="183" spans="1:8" x14ac:dyDescent="0.2">
      <c r="A183" s="21" t="s">
        <v>40</v>
      </c>
      <c r="B183" s="21" t="s">
        <v>21</v>
      </c>
      <c r="C183" s="21" t="s">
        <v>15</v>
      </c>
      <c r="D183" s="21">
        <v>1</v>
      </c>
      <c r="E183" s="21" t="str">
        <f t="shared" si="4"/>
        <v>Liste!GA1</v>
      </c>
      <c r="F183" s="21">
        <v>183</v>
      </c>
      <c r="G183" s="21" t="s">
        <v>41</v>
      </c>
      <c r="H183" s="21" t="str">
        <f t="shared" si="5"/>
        <v>INDEX(Liste;$E$2;183)</v>
      </c>
    </row>
    <row r="184" spans="1:8" x14ac:dyDescent="0.2">
      <c r="A184" s="21" t="s">
        <v>40</v>
      </c>
      <c r="B184" s="21" t="s">
        <v>21</v>
      </c>
      <c r="C184" s="21" t="s">
        <v>16</v>
      </c>
      <c r="D184" s="21">
        <v>1</v>
      </c>
      <c r="E184" s="21" t="str">
        <f t="shared" si="4"/>
        <v>Liste!GB1</v>
      </c>
      <c r="F184" s="21">
        <v>184</v>
      </c>
      <c r="G184" s="21" t="s">
        <v>41</v>
      </c>
      <c r="H184" s="21" t="str">
        <f t="shared" si="5"/>
        <v>INDEX(Liste;$E$2;184)</v>
      </c>
    </row>
    <row r="185" spans="1:8" x14ac:dyDescent="0.2">
      <c r="A185" s="21" t="s">
        <v>40</v>
      </c>
      <c r="B185" s="21" t="s">
        <v>21</v>
      </c>
      <c r="C185" s="21" t="s">
        <v>17</v>
      </c>
      <c r="D185" s="21">
        <v>1</v>
      </c>
      <c r="E185" s="21" t="str">
        <f t="shared" si="4"/>
        <v>Liste!GC1</v>
      </c>
      <c r="F185" s="21">
        <v>185</v>
      </c>
      <c r="G185" s="21" t="s">
        <v>41</v>
      </c>
      <c r="H185" s="21" t="str">
        <f t="shared" si="5"/>
        <v>INDEX(Liste;$E$2;185)</v>
      </c>
    </row>
    <row r="186" spans="1:8" x14ac:dyDescent="0.2">
      <c r="A186" s="21" t="s">
        <v>40</v>
      </c>
      <c r="B186" s="21" t="s">
        <v>21</v>
      </c>
      <c r="C186" s="21" t="s">
        <v>18</v>
      </c>
      <c r="D186" s="21">
        <v>1</v>
      </c>
      <c r="E186" s="21" t="str">
        <f t="shared" si="4"/>
        <v>Liste!GD1</v>
      </c>
      <c r="F186" s="21">
        <v>186</v>
      </c>
      <c r="G186" s="21" t="s">
        <v>41</v>
      </c>
      <c r="H186" s="21" t="str">
        <f t="shared" si="5"/>
        <v>INDEX(Liste;$E$2;186)</v>
      </c>
    </row>
    <row r="187" spans="1:8" x14ac:dyDescent="0.2">
      <c r="A187" s="21" t="s">
        <v>40</v>
      </c>
      <c r="B187" s="21" t="s">
        <v>21</v>
      </c>
      <c r="C187" s="21" t="s">
        <v>19</v>
      </c>
      <c r="D187" s="21">
        <v>1</v>
      </c>
      <c r="E187" s="21" t="str">
        <f t="shared" si="4"/>
        <v>Liste!GE1</v>
      </c>
      <c r="F187" s="21">
        <v>187</v>
      </c>
      <c r="G187" s="21" t="s">
        <v>41</v>
      </c>
      <c r="H187" s="21" t="str">
        <f t="shared" si="5"/>
        <v>INDEX(Liste;$E$2;187)</v>
      </c>
    </row>
    <row r="188" spans="1:8" x14ac:dyDescent="0.2">
      <c r="A188" s="21" t="s">
        <v>40</v>
      </c>
      <c r="B188" s="21" t="s">
        <v>21</v>
      </c>
      <c r="C188" s="21" t="s">
        <v>20</v>
      </c>
      <c r="D188" s="21">
        <v>1</v>
      </c>
      <c r="E188" s="21" t="str">
        <f t="shared" si="4"/>
        <v>Liste!GF1</v>
      </c>
      <c r="F188" s="21">
        <v>188</v>
      </c>
      <c r="G188" s="21" t="s">
        <v>41</v>
      </c>
      <c r="H188" s="21" t="str">
        <f t="shared" si="5"/>
        <v>INDEX(Liste;$E$2;188)</v>
      </c>
    </row>
    <row r="189" spans="1:8" x14ac:dyDescent="0.2">
      <c r="A189" s="21" t="s">
        <v>40</v>
      </c>
      <c r="B189" s="21" t="s">
        <v>21</v>
      </c>
      <c r="C189" s="21" t="s">
        <v>21</v>
      </c>
      <c r="D189" s="21">
        <v>1</v>
      </c>
      <c r="E189" s="21" t="str">
        <f t="shared" si="4"/>
        <v>Liste!GG1</v>
      </c>
      <c r="F189" s="21">
        <v>189</v>
      </c>
      <c r="G189" s="21" t="s">
        <v>41</v>
      </c>
      <c r="H189" s="21" t="str">
        <f t="shared" si="5"/>
        <v>INDEX(Liste;$E$2;189)</v>
      </c>
    </row>
    <row r="190" spans="1:8" x14ac:dyDescent="0.2">
      <c r="A190" s="21" t="s">
        <v>40</v>
      </c>
      <c r="B190" s="21" t="s">
        <v>21</v>
      </c>
      <c r="C190" s="21" t="s">
        <v>22</v>
      </c>
      <c r="D190" s="21">
        <v>1</v>
      </c>
      <c r="E190" s="21" t="str">
        <f t="shared" si="4"/>
        <v>Liste!GH1</v>
      </c>
      <c r="F190" s="21">
        <v>190</v>
      </c>
      <c r="G190" s="21" t="s">
        <v>41</v>
      </c>
      <c r="H190" s="21" t="str">
        <f t="shared" si="5"/>
        <v>INDEX(Liste;$E$2;190)</v>
      </c>
    </row>
    <row r="191" spans="1:8" x14ac:dyDescent="0.2">
      <c r="A191" s="21" t="s">
        <v>40</v>
      </c>
      <c r="B191" s="21" t="s">
        <v>21</v>
      </c>
      <c r="C191" s="21" t="s">
        <v>23</v>
      </c>
      <c r="D191" s="21">
        <v>1</v>
      </c>
      <c r="E191" s="21" t="str">
        <f t="shared" si="4"/>
        <v>Liste!GI1</v>
      </c>
      <c r="F191" s="21">
        <v>191</v>
      </c>
      <c r="G191" s="21" t="s">
        <v>41</v>
      </c>
      <c r="H191" s="21" t="str">
        <f t="shared" si="5"/>
        <v>INDEX(Liste;$E$2;191)</v>
      </c>
    </row>
    <row r="192" spans="1:8" x14ac:dyDescent="0.2">
      <c r="A192" s="21" t="s">
        <v>40</v>
      </c>
      <c r="B192" s="21" t="s">
        <v>21</v>
      </c>
      <c r="C192" s="21" t="s">
        <v>24</v>
      </c>
      <c r="D192" s="21">
        <v>1</v>
      </c>
      <c r="E192" s="21" t="str">
        <f t="shared" si="4"/>
        <v>Liste!GJ1</v>
      </c>
      <c r="F192" s="21">
        <v>192</v>
      </c>
      <c r="G192" s="21" t="s">
        <v>41</v>
      </c>
      <c r="H192" s="21" t="str">
        <f t="shared" si="5"/>
        <v>INDEX(Liste;$E$2;192)</v>
      </c>
    </row>
    <row r="193" spans="1:8" x14ac:dyDescent="0.2">
      <c r="A193" s="21" t="s">
        <v>40</v>
      </c>
      <c r="B193" s="21" t="s">
        <v>21</v>
      </c>
      <c r="C193" s="21" t="s">
        <v>25</v>
      </c>
      <c r="D193" s="21">
        <v>1</v>
      </c>
      <c r="E193" s="21" t="str">
        <f t="shared" si="4"/>
        <v>Liste!GK1</v>
      </c>
      <c r="F193" s="21">
        <v>193</v>
      </c>
      <c r="G193" s="21" t="s">
        <v>41</v>
      </c>
      <c r="H193" s="21" t="str">
        <f t="shared" si="5"/>
        <v>INDEX(Liste;$E$2;193)</v>
      </c>
    </row>
    <row r="194" spans="1:8" x14ac:dyDescent="0.2">
      <c r="A194" s="21" t="s">
        <v>40</v>
      </c>
      <c r="B194" s="21" t="s">
        <v>21</v>
      </c>
      <c r="C194" s="21" t="s">
        <v>26</v>
      </c>
      <c r="D194" s="21">
        <v>1</v>
      </c>
      <c r="E194" s="21" t="str">
        <f t="shared" ref="E194:E257" si="6">A194&amp;B194&amp;C194&amp;D194</f>
        <v>Liste!GL1</v>
      </c>
      <c r="F194" s="21">
        <v>194</v>
      </c>
      <c r="G194" s="21" t="s">
        <v>41</v>
      </c>
      <c r="H194" s="21" t="str">
        <f t="shared" si="5"/>
        <v>INDEX(Liste;$E$2;194)</v>
      </c>
    </row>
    <row r="195" spans="1:8" x14ac:dyDescent="0.2">
      <c r="A195" s="21" t="s">
        <v>40</v>
      </c>
      <c r="B195" s="21" t="s">
        <v>21</v>
      </c>
      <c r="C195" s="21" t="s">
        <v>27</v>
      </c>
      <c r="D195" s="21">
        <v>1</v>
      </c>
      <c r="E195" s="21" t="str">
        <f t="shared" si="6"/>
        <v>Liste!GM1</v>
      </c>
      <c r="F195" s="21">
        <v>195</v>
      </c>
      <c r="G195" s="21" t="s">
        <v>41</v>
      </c>
      <c r="H195" s="21" t="str">
        <f t="shared" ref="H195:H258" si="7">G195&amp;F195&amp;")"</f>
        <v>INDEX(Liste;$E$2;195)</v>
      </c>
    </row>
    <row r="196" spans="1:8" x14ac:dyDescent="0.2">
      <c r="A196" s="21" t="s">
        <v>40</v>
      </c>
      <c r="B196" s="21" t="s">
        <v>21</v>
      </c>
      <c r="C196" s="21" t="s">
        <v>7</v>
      </c>
      <c r="D196" s="21">
        <v>1</v>
      </c>
      <c r="E196" s="21" t="str">
        <f t="shared" si="6"/>
        <v>Liste!GN1</v>
      </c>
      <c r="F196" s="21">
        <v>196</v>
      </c>
      <c r="G196" s="21" t="s">
        <v>41</v>
      </c>
      <c r="H196" s="21" t="str">
        <f t="shared" si="7"/>
        <v>INDEX(Liste;$E$2;196)</v>
      </c>
    </row>
    <row r="197" spans="1:8" x14ac:dyDescent="0.2">
      <c r="A197" s="21" t="s">
        <v>40</v>
      </c>
      <c r="B197" s="21" t="s">
        <v>21</v>
      </c>
      <c r="C197" s="21" t="s">
        <v>28</v>
      </c>
      <c r="D197" s="21">
        <v>1</v>
      </c>
      <c r="E197" s="21" t="str">
        <f t="shared" si="6"/>
        <v>Liste!GO1</v>
      </c>
      <c r="F197" s="21">
        <v>197</v>
      </c>
      <c r="G197" s="21" t="s">
        <v>41</v>
      </c>
      <c r="H197" s="21" t="str">
        <f t="shared" si="7"/>
        <v>INDEX(Liste;$E$2;197)</v>
      </c>
    </row>
    <row r="198" spans="1:8" x14ac:dyDescent="0.2">
      <c r="A198" s="21" t="s">
        <v>40</v>
      </c>
      <c r="B198" s="21" t="s">
        <v>21</v>
      </c>
      <c r="C198" s="21" t="s">
        <v>29</v>
      </c>
      <c r="D198" s="21">
        <v>1</v>
      </c>
      <c r="E198" s="21" t="str">
        <f t="shared" si="6"/>
        <v>Liste!GP1</v>
      </c>
      <c r="F198" s="21">
        <v>198</v>
      </c>
      <c r="G198" s="21" t="s">
        <v>41</v>
      </c>
      <c r="H198" s="21" t="str">
        <f t="shared" si="7"/>
        <v>INDEX(Liste;$E$2;198)</v>
      </c>
    </row>
    <row r="199" spans="1:8" x14ac:dyDescent="0.2">
      <c r="A199" s="21" t="s">
        <v>40</v>
      </c>
      <c r="B199" s="21" t="s">
        <v>21</v>
      </c>
      <c r="C199" s="21" t="s">
        <v>30</v>
      </c>
      <c r="D199" s="21">
        <v>1</v>
      </c>
      <c r="E199" s="21" t="str">
        <f t="shared" si="6"/>
        <v>Liste!GQ1</v>
      </c>
      <c r="F199" s="21">
        <v>199</v>
      </c>
      <c r="G199" s="21" t="s">
        <v>41</v>
      </c>
      <c r="H199" s="21" t="str">
        <f t="shared" si="7"/>
        <v>INDEX(Liste;$E$2;199)</v>
      </c>
    </row>
    <row r="200" spans="1:8" x14ac:dyDescent="0.2">
      <c r="A200" s="21" t="s">
        <v>40</v>
      </c>
      <c r="B200" s="21" t="s">
        <v>21</v>
      </c>
      <c r="C200" s="21" t="s">
        <v>31</v>
      </c>
      <c r="D200" s="21">
        <v>1</v>
      </c>
      <c r="E200" s="21" t="str">
        <f t="shared" si="6"/>
        <v>Liste!GR1</v>
      </c>
      <c r="F200" s="21">
        <v>200</v>
      </c>
      <c r="G200" s="21" t="s">
        <v>41</v>
      </c>
      <c r="H200" s="21" t="str">
        <f t="shared" si="7"/>
        <v>INDEX(Liste;$E$2;200)</v>
      </c>
    </row>
    <row r="201" spans="1:8" x14ac:dyDescent="0.2">
      <c r="A201" s="21" t="s">
        <v>40</v>
      </c>
      <c r="B201" s="21" t="s">
        <v>21</v>
      </c>
      <c r="C201" s="21" t="s">
        <v>32</v>
      </c>
      <c r="D201" s="21">
        <v>1</v>
      </c>
      <c r="E201" s="21" t="str">
        <f t="shared" si="6"/>
        <v>Liste!GS1</v>
      </c>
      <c r="F201" s="21">
        <v>201</v>
      </c>
      <c r="G201" s="21" t="s">
        <v>41</v>
      </c>
      <c r="H201" s="21" t="str">
        <f t="shared" si="7"/>
        <v>INDEX(Liste;$E$2;201)</v>
      </c>
    </row>
    <row r="202" spans="1:8" x14ac:dyDescent="0.2">
      <c r="A202" s="21" t="s">
        <v>40</v>
      </c>
      <c r="B202" s="21" t="s">
        <v>21</v>
      </c>
      <c r="C202" s="21" t="s">
        <v>33</v>
      </c>
      <c r="D202" s="21">
        <v>1</v>
      </c>
      <c r="E202" s="21" t="str">
        <f t="shared" si="6"/>
        <v>Liste!GT1</v>
      </c>
      <c r="F202" s="21">
        <v>202</v>
      </c>
      <c r="G202" s="21" t="s">
        <v>41</v>
      </c>
      <c r="H202" s="21" t="str">
        <f t="shared" si="7"/>
        <v>INDEX(Liste;$E$2;202)</v>
      </c>
    </row>
    <row r="203" spans="1:8" x14ac:dyDescent="0.2">
      <c r="A203" s="21" t="s">
        <v>40</v>
      </c>
      <c r="B203" s="21" t="s">
        <v>21</v>
      </c>
      <c r="C203" s="21" t="s">
        <v>34</v>
      </c>
      <c r="D203" s="21">
        <v>1</v>
      </c>
      <c r="E203" s="21" t="str">
        <f t="shared" si="6"/>
        <v>Liste!GU1</v>
      </c>
      <c r="F203" s="21">
        <v>203</v>
      </c>
      <c r="G203" s="21" t="s">
        <v>41</v>
      </c>
      <c r="H203" s="21" t="str">
        <f t="shared" si="7"/>
        <v>INDEX(Liste;$E$2;203)</v>
      </c>
    </row>
    <row r="204" spans="1:8" x14ac:dyDescent="0.2">
      <c r="A204" s="21" t="s">
        <v>40</v>
      </c>
      <c r="B204" s="21" t="s">
        <v>21</v>
      </c>
      <c r="C204" s="21" t="s">
        <v>35</v>
      </c>
      <c r="D204" s="21">
        <v>1</v>
      </c>
      <c r="E204" s="21" t="str">
        <f t="shared" si="6"/>
        <v>Liste!GV1</v>
      </c>
      <c r="F204" s="21">
        <v>204</v>
      </c>
      <c r="G204" s="21" t="s">
        <v>41</v>
      </c>
      <c r="H204" s="21" t="str">
        <f t="shared" si="7"/>
        <v>INDEX(Liste;$E$2;204)</v>
      </c>
    </row>
    <row r="205" spans="1:8" x14ac:dyDescent="0.2">
      <c r="A205" s="21" t="s">
        <v>40</v>
      </c>
      <c r="B205" s="21" t="s">
        <v>21</v>
      </c>
      <c r="C205" s="21" t="s">
        <v>36</v>
      </c>
      <c r="D205" s="21">
        <v>1</v>
      </c>
      <c r="E205" s="21" t="str">
        <f t="shared" si="6"/>
        <v>Liste!GW1</v>
      </c>
      <c r="F205" s="21">
        <v>205</v>
      </c>
      <c r="G205" s="21" t="s">
        <v>41</v>
      </c>
      <c r="H205" s="21" t="str">
        <f t="shared" si="7"/>
        <v>INDEX(Liste;$E$2;205)</v>
      </c>
    </row>
    <row r="206" spans="1:8" x14ac:dyDescent="0.2">
      <c r="A206" s="21" t="s">
        <v>40</v>
      </c>
      <c r="B206" s="21" t="s">
        <v>21</v>
      </c>
      <c r="C206" s="21" t="s">
        <v>37</v>
      </c>
      <c r="D206" s="21">
        <v>1</v>
      </c>
      <c r="E206" s="21" t="str">
        <f t="shared" si="6"/>
        <v>Liste!GX1</v>
      </c>
      <c r="F206" s="21">
        <v>206</v>
      </c>
      <c r="G206" s="21" t="s">
        <v>41</v>
      </c>
      <c r="H206" s="21" t="str">
        <f t="shared" si="7"/>
        <v>INDEX(Liste;$E$2;206)</v>
      </c>
    </row>
    <row r="207" spans="1:8" x14ac:dyDescent="0.2">
      <c r="A207" s="21" t="s">
        <v>40</v>
      </c>
      <c r="B207" s="21" t="s">
        <v>21</v>
      </c>
      <c r="C207" s="21" t="s">
        <v>38</v>
      </c>
      <c r="D207" s="21">
        <v>1</v>
      </c>
      <c r="E207" s="21" t="str">
        <f t="shared" si="6"/>
        <v>Liste!GY1</v>
      </c>
      <c r="F207" s="21">
        <v>207</v>
      </c>
      <c r="G207" s="21" t="s">
        <v>41</v>
      </c>
      <c r="H207" s="21" t="str">
        <f t="shared" si="7"/>
        <v>INDEX(Liste;$E$2;207)</v>
      </c>
    </row>
    <row r="208" spans="1:8" x14ac:dyDescent="0.2">
      <c r="A208" s="21" t="s">
        <v>40</v>
      </c>
      <c r="B208" s="21" t="s">
        <v>21</v>
      </c>
      <c r="C208" s="21" t="s">
        <v>39</v>
      </c>
      <c r="D208" s="21">
        <v>1</v>
      </c>
      <c r="E208" s="21" t="str">
        <f t="shared" si="6"/>
        <v>Liste!GZ1</v>
      </c>
      <c r="F208" s="21">
        <v>208</v>
      </c>
      <c r="G208" s="21" t="s">
        <v>41</v>
      </c>
      <c r="H208" s="21" t="str">
        <f t="shared" si="7"/>
        <v>INDEX(Liste;$E$2;208)</v>
      </c>
    </row>
    <row r="209" spans="1:8" x14ac:dyDescent="0.2">
      <c r="A209" s="21" t="s">
        <v>40</v>
      </c>
      <c r="B209" s="21" t="s">
        <v>22</v>
      </c>
      <c r="C209" s="21" t="s">
        <v>15</v>
      </c>
      <c r="D209" s="21">
        <v>1</v>
      </c>
      <c r="E209" s="21" t="str">
        <f t="shared" si="6"/>
        <v>Liste!HA1</v>
      </c>
      <c r="F209" s="21">
        <v>209</v>
      </c>
      <c r="G209" s="21" t="s">
        <v>41</v>
      </c>
      <c r="H209" s="21" t="str">
        <f t="shared" si="7"/>
        <v>INDEX(Liste;$E$2;209)</v>
      </c>
    </row>
    <row r="210" spans="1:8" x14ac:dyDescent="0.2">
      <c r="A210" s="21" t="s">
        <v>40</v>
      </c>
      <c r="B210" s="21" t="s">
        <v>22</v>
      </c>
      <c r="C210" s="21" t="s">
        <v>16</v>
      </c>
      <c r="D210" s="21">
        <v>1</v>
      </c>
      <c r="E210" s="21" t="str">
        <f t="shared" si="6"/>
        <v>Liste!HB1</v>
      </c>
      <c r="F210" s="21">
        <v>210</v>
      </c>
      <c r="G210" s="21" t="s">
        <v>41</v>
      </c>
      <c r="H210" s="21" t="str">
        <f t="shared" si="7"/>
        <v>INDEX(Liste;$E$2;210)</v>
      </c>
    </row>
    <row r="211" spans="1:8" x14ac:dyDescent="0.2">
      <c r="A211" s="21" t="s">
        <v>40</v>
      </c>
      <c r="B211" s="21" t="s">
        <v>22</v>
      </c>
      <c r="C211" s="21" t="s">
        <v>17</v>
      </c>
      <c r="D211" s="21">
        <v>1</v>
      </c>
      <c r="E211" s="21" t="str">
        <f t="shared" si="6"/>
        <v>Liste!HC1</v>
      </c>
      <c r="F211" s="21">
        <v>211</v>
      </c>
      <c r="G211" s="21" t="s">
        <v>41</v>
      </c>
      <c r="H211" s="21" t="str">
        <f t="shared" si="7"/>
        <v>INDEX(Liste;$E$2;211)</v>
      </c>
    </row>
    <row r="212" spans="1:8" x14ac:dyDescent="0.2">
      <c r="A212" s="21" t="s">
        <v>40</v>
      </c>
      <c r="B212" s="21" t="s">
        <v>22</v>
      </c>
      <c r="C212" s="21" t="s">
        <v>18</v>
      </c>
      <c r="D212" s="21">
        <v>1</v>
      </c>
      <c r="E212" s="21" t="str">
        <f t="shared" si="6"/>
        <v>Liste!HD1</v>
      </c>
      <c r="F212" s="21">
        <v>212</v>
      </c>
      <c r="G212" s="21" t="s">
        <v>41</v>
      </c>
      <c r="H212" s="21" t="str">
        <f t="shared" si="7"/>
        <v>INDEX(Liste;$E$2;212)</v>
      </c>
    </row>
    <row r="213" spans="1:8" x14ac:dyDescent="0.2">
      <c r="A213" s="21" t="s">
        <v>40</v>
      </c>
      <c r="B213" s="21" t="s">
        <v>22</v>
      </c>
      <c r="C213" s="21" t="s">
        <v>19</v>
      </c>
      <c r="D213" s="21">
        <v>1</v>
      </c>
      <c r="E213" s="21" t="str">
        <f t="shared" si="6"/>
        <v>Liste!HE1</v>
      </c>
      <c r="F213" s="21">
        <v>213</v>
      </c>
      <c r="G213" s="21" t="s">
        <v>41</v>
      </c>
      <c r="H213" s="21" t="str">
        <f t="shared" si="7"/>
        <v>INDEX(Liste;$E$2;213)</v>
      </c>
    </row>
    <row r="214" spans="1:8" x14ac:dyDescent="0.2">
      <c r="A214" s="21" t="s">
        <v>40</v>
      </c>
      <c r="B214" s="21" t="s">
        <v>22</v>
      </c>
      <c r="C214" s="21" t="s">
        <v>20</v>
      </c>
      <c r="D214" s="21">
        <v>1</v>
      </c>
      <c r="E214" s="21" t="str">
        <f t="shared" si="6"/>
        <v>Liste!HF1</v>
      </c>
      <c r="F214" s="21">
        <v>214</v>
      </c>
      <c r="G214" s="21" t="s">
        <v>41</v>
      </c>
      <c r="H214" s="21" t="str">
        <f t="shared" si="7"/>
        <v>INDEX(Liste;$E$2;214)</v>
      </c>
    </row>
    <row r="215" spans="1:8" x14ac:dyDescent="0.2">
      <c r="A215" s="21" t="s">
        <v>40</v>
      </c>
      <c r="B215" s="21" t="s">
        <v>22</v>
      </c>
      <c r="C215" s="21" t="s">
        <v>21</v>
      </c>
      <c r="D215" s="21">
        <v>1</v>
      </c>
      <c r="E215" s="21" t="str">
        <f t="shared" si="6"/>
        <v>Liste!HG1</v>
      </c>
      <c r="F215" s="21">
        <v>215</v>
      </c>
      <c r="G215" s="21" t="s">
        <v>41</v>
      </c>
      <c r="H215" s="21" t="str">
        <f t="shared" si="7"/>
        <v>INDEX(Liste;$E$2;215)</v>
      </c>
    </row>
    <row r="216" spans="1:8" x14ac:dyDescent="0.2">
      <c r="A216" s="21" t="s">
        <v>40</v>
      </c>
      <c r="B216" s="21" t="s">
        <v>22</v>
      </c>
      <c r="C216" s="21" t="s">
        <v>22</v>
      </c>
      <c r="D216" s="21">
        <v>1</v>
      </c>
      <c r="E216" s="21" t="str">
        <f t="shared" si="6"/>
        <v>Liste!HH1</v>
      </c>
      <c r="F216" s="21">
        <v>216</v>
      </c>
      <c r="G216" s="21" t="s">
        <v>41</v>
      </c>
      <c r="H216" s="21" t="str">
        <f t="shared" si="7"/>
        <v>INDEX(Liste;$E$2;216)</v>
      </c>
    </row>
    <row r="217" spans="1:8" x14ac:dyDescent="0.2">
      <c r="A217" s="21" t="s">
        <v>40</v>
      </c>
      <c r="B217" s="21" t="s">
        <v>22</v>
      </c>
      <c r="C217" s="21" t="s">
        <v>23</v>
      </c>
      <c r="D217" s="21">
        <v>1</v>
      </c>
      <c r="E217" s="21" t="str">
        <f t="shared" si="6"/>
        <v>Liste!HI1</v>
      </c>
      <c r="F217" s="21">
        <v>217</v>
      </c>
      <c r="G217" s="21" t="s">
        <v>41</v>
      </c>
      <c r="H217" s="21" t="str">
        <f t="shared" si="7"/>
        <v>INDEX(Liste;$E$2;217)</v>
      </c>
    </row>
    <row r="218" spans="1:8" x14ac:dyDescent="0.2">
      <c r="A218" s="21" t="s">
        <v>40</v>
      </c>
      <c r="B218" s="21" t="s">
        <v>22</v>
      </c>
      <c r="C218" s="21" t="s">
        <v>24</v>
      </c>
      <c r="D218" s="21">
        <v>1</v>
      </c>
      <c r="E218" s="21" t="str">
        <f t="shared" si="6"/>
        <v>Liste!HJ1</v>
      </c>
      <c r="F218" s="21">
        <v>218</v>
      </c>
      <c r="G218" s="21" t="s">
        <v>41</v>
      </c>
      <c r="H218" s="21" t="str">
        <f t="shared" si="7"/>
        <v>INDEX(Liste;$E$2;218)</v>
      </c>
    </row>
    <row r="219" spans="1:8" x14ac:dyDescent="0.2">
      <c r="A219" s="21" t="s">
        <v>40</v>
      </c>
      <c r="B219" s="21" t="s">
        <v>22</v>
      </c>
      <c r="C219" s="21" t="s">
        <v>25</v>
      </c>
      <c r="D219" s="21">
        <v>1</v>
      </c>
      <c r="E219" s="21" t="str">
        <f t="shared" si="6"/>
        <v>Liste!HK1</v>
      </c>
      <c r="F219" s="21">
        <v>219</v>
      </c>
      <c r="G219" s="21" t="s">
        <v>41</v>
      </c>
      <c r="H219" s="21" t="str">
        <f t="shared" si="7"/>
        <v>INDEX(Liste;$E$2;219)</v>
      </c>
    </row>
    <row r="220" spans="1:8" x14ac:dyDescent="0.2">
      <c r="A220" s="21" t="s">
        <v>40</v>
      </c>
      <c r="B220" s="21" t="s">
        <v>22</v>
      </c>
      <c r="C220" s="21" t="s">
        <v>26</v>
      </c>
      <c r="D220" s="21">
        <v>1</v>
      </c>
      <c r="E220" s="21" t="str">
        <f t="shared" si="6"/>
        <v>Liste!HL1</v>
      </c>
      <c r="F220" s="21">
        <v>220</v>
      </c>
      <c r="G220" s="21" t="s">
        <v>41</v>
      </c>
      <c r="H220" s="21" t="str">
        <f t="shared" si="7"/>
        <v>INDEX(Liste;$E$2;220)</v>
      </c>
    </row>
    <row r="221" spans="1:8" x14ac:dyDescent="0.2">
      <c r="A221" s="21" t="s">
        <v>40</v>
      </c>
      <c r="B221" s="21" t="s">
        <v>22</v>
      </c>
      <c r="C221" s="21" t="s">
        <v>27</v>
      </c>
      <c r="D221" s="21">
        <v>1</v>
      </c>
      <c r="E221" s="21" t="str">
        <f t="shared" si="6"/>
        <v>Liste!HM1</v>
      </c>
      <c r="F221" s="21">
        <v>221</v>
      </c>
      <c r="G221" s="21" t="s">
        <v>41</v>
      </c>
      <c r="H221" s="21" t="str">
        <f t="shared" si="7"/>
        <v>INDEX(Liste;$E$2;221)</v>
      </c>
    </row>
    <row r="222" spans="1:8" x14ac:dyDescent="0.2">
      <c r="A222" s="21" t="s">
        <v>40</v>
      </c>
      <c r="B222" s="21" t="s">
        <v>22</v>
      </c>
      <c r="C222" s="21" t="s">
        <v>7</v>
      </c>
      <c r="D222" s="21">
        <v>1</v>
      </c>
      <c r="E222" s="21" t="str">
        <f t="shared" si="6"/>
        <v>Liste!HN1</v>
      </c>
      <c r="F222" s="21">
        <v>222</v>
      </c>
      <c r="G222" s="21" t="s">
        <v>41</v>
      </c>
      <c r="H222" s="21" t="str">
        <f t="shared" si="7"/>
        <v>INDEX(Liste;$E$2;222)</v>
      </c>
    </row>
    <row r="223" spans="1:8" x14ac:dyDescent="0.2">
      <c r="A223" s="21" t="s">
        <v>40</v>
      </c>
      <c r="B223" s="21" t="s">
        <v>22</v>
      </c>
      <c r="C223" s="21" t="s">
        <v>28</v>
      </c>
      <c r="D223" s="21">
        <v>1</v>
      </c>
      <c r="E223" s="21" t="str">
        <f t="shared" si="6"/>
        <v>Liste!HO1</v>
      </c>
      <c r="F223" s="21">
        <v>223</v>
      </c>
      <c r="G223" s="21" t="s">
        <v>41</v>
      </c>
      <c r="H223" s="21" t="str">
        <f t="shared" si="7"/>
        <v>INDEX(Liste;$E$2;223)</v>
      </c>
    </row>
    <row r="224" spans="1:8" x14ac:dyDescent="0.2">
      <c r="A224" s="21" t="s">
        <v>40</v>
      </c>
      <c r="B224" s="21" t="s">
        <v>22</v>
      </c>
      <c r="C224" s="21" t="s">
        <v>29</v>
      </c>
      <c r="D224" s="21">
        <v>1</v>
      </c>
      <c r="E224" s="21" t="str">
        <f t="shared" si="6"/>
        <v>Liste!HP1</v>
      </c>
      <c r="F224" s="21">
        <v>224</v>
      </c>
      <c r="G224" s="21" t="s">
        <v>41</v>
      </c>
      <c r="H224" s="21" t="str">
        <f t="shared" si="7"/>
        <v>INDEX(Liste;$E$2;224)</v>
      </c>
    </row>
    <row r="225" spans="1:8" x14ac:dyDescent="0.2">
      <c r="A225" s="21" t="s">
        <v>40</v>
      </c>
      <c r="B225" s="21" t="s">
        <v>22</v>
      </c>
      <c r="C225" s="21" t="s">
        <v>30</v>
      </c>
      <c r="D225" s="21">
        <v>1</v>
      </c>
      <c r="E225" s="21" t="str">
        <f t="shared" si="6"/>
        <v>Liste!HQ1</v>
      </c>
      <c r="F225" s="21">
        <v>225</v>
      </c>
      <c r="G225" s="21" t="s">
        <v>41</v>
      </c>
      <c r="H225" s="21" t="str">
        <f t="shared" si="7"/>
        <v>INDEX(Liste;$E$2;225)</v>
      </c>
    </row>
    <row r="226" spans="1:8" x14ac:dyDescent="0.2">
      <c r="A226" s="21" t="s">
        <v>40</v>
      </c>
      <c r="B226" s="21" t="s">
        <v>22</v>
      </c>
      <c r="C226" s="21" t="s">
        <v>31</v>
      </c>
      <c r="D226" s="21">
        <v>1</v>
      </c>
      <c r="E226" s="21" t="str">
        <f t="shared" si="6"/>
        <v>Liste!HR1</v>
      </c>
      <c r="F226" s="21">
        <v>226</v>
      </c>
      <c r="G226" s="21" t="s">
        <v>41</v>
      </c>
      <c r="H226" s="21" t="str">
        <f t="shared" si="7"/>
        <v>INDEX(Liste;$E$2;226)</v>
      </c>
    </row>
    <row r="227" spans="1:8" x14ac:dyDescent="0.2">
      <c r="A227" s="21" t="s">
        <v>40</v>
      </c>
      <c r="B227" s="21" t="s">
        <v>22</v>
      </c>
      <c r="C227" s="21" t="s">
        <v>32</v>
      </c>
      <c r="D227" s="21">
        <v>1</v>
      </c>
      <c r="E227" s="21" t="str">
        <f t="shared" si="6"/>
        <v>Liste!HS1</v>
      </c>
      <c r="F227" s="21">
        <v>227</v>
      </c>
      <c r="G227" s="21" t="s">
        <v>41</v>
      </c>
      <c r="H227" s="21" t="str">
        <f t="shared" si="7"/>
        <v>INDEX(Liste;$E$2;227)</v>
      </c>
    </row>
    <row r="228" spans="1:8" x14ac:dyDescent="0.2">
      <c r="A228" s="21" t="s">
        <v>40</v>
      </c>
      <c r="B228" s="21" t="s">
        <v>22</v>
      </c>
      <c r="C228" s="21" t="s">
        <v>33</v>
      </c>
      <c r="D228" s="21">
        <v>1</v>
      </c>
      <c r="E228" s="21" t="str">
        <f t="shared" si="6"/>
        <v>Liste!HT1</v>
      </c>
      <c r="F228" s="21">
        <v>228</v>
      </c>
      <c r="G228" s="21" t="s">
        <v>41</v>
      </c>
      <c r="H228" s="21" t="str">
        <f t="shared" si="7"/>
        <v>INDEX(Liste;$E$2;228)</v>
      </c>
    </row>
    <row r="229" spans="1:8" x14ac:dyDescent="0.2">
      <c r="A229" s="21" t="s">
        <v>40</v>
      </c>
      <c r="B229" s="21" t="s">
        <v>22</v>
      </c>
      <c r="C229" s="21" t="s">
        <v>34</v>
      </c>
      <c r="D229" s="21">
        <v>1</v>
      </c>
      <c r="E229" s="21" t="str">
        <f t="shared" si="6"/>
        <v>Liste!HU1</v>
      </c>
      <c r="F229" s="21">
        <v>229</v>
      </c>
      <c r="G229" s="21" t="s">
        <v>41</v>
      </c>
      <c r="H229" s="21" t="str">
        <f t="shared" si="7"/>
        <v>INDEX(Liste;$E$2;229)</v>
      </c>
    </row>
    <row r="230" spans="1:8" x14ac:dyDescent="0.2">
      <c r="A230" s="21" t="s">
        <v>40</v>
      </c>
      <c r="B230" s="21" t="s">
        <v>22</v>
      </c>
      <c r="C230" s="21" t="s">
        <v>35</v>
      </c>
      <c r="D230" s="21">
        <v>1</v>
      </c>
      <c r="E230" s="21" t="str">
        <f t="shared" si="6"/>
        <v>Liste!HV1</v>
      </c>
      <c r="F230" s="21">
        <v>230</v>
      </c>
      <c r="G230" s="21" t="s">
        <v>41</v>
      </c>
      <c r="H230" s="21" t="str">
        <f t="shared" si="7"/>
        <v>INDEX(Liste;$E$2;230)</v>
      </c>
    </row>
    <row r="231" spans="1:8" x14ac:dyDescent="0.2">
      <c r="A231" s="21" t="s">
        <v>40</v>
      </c>
      <c r="B231" s="21" t="s">
        <v>22</v>
      </c>
      <c r="C231" s="21" t="s">
        <v>36</v>
      </c>
      <c r="D231" s="21">
        <v>1</v>
      </c>
      <c r="E231" s="21" t="str">
        <f t="shared" si="6"/>
        <v>Liste!HW1</v>
      </c>
      <c r="F231" s="21">
        <v>231</v>
      </c>
      <c r="G231" s="21" t="s">
        <v>41</v>
      </c>
      <c r="H231" s="21" t="str">
        <f t="shared" si="7"/>
        <v>INDEX(Liste;$E$2;231)</v>
      </c>
    </row>
    <row r="232" spans="1:8" x14ac:dyDescent="0.2">
      <c r="A232" s="21" t="s">
        <v>40</v>
      </c>
      <c r="B232" s="21" t="s">
        <v>22</v>
      </c>
      <c r="C232" s="21" t="s">
        <v>37</v>
      </c>
      <c r="D232" s="21">
        <v>1</v>
      </c>
      <c r="E232" s="21" t="str">
        <f t="shared" si="6"/>
        <v>Liste!HX1</v>
      </c>
      <c r="F232" s="21">
        <v>232</v>
      </c>
      <c r="G232" s="21" t="s">
        <v>41</v>
      </c>
      <c r="H232" s="21" t="str">
        <f t="shared" si="7"/>
        <v>INDEX(Liste;$E$2;232)</v>
      </c>
    </row>
    <row r="233" spans="1:8" x14ac:dyDescent="0.2">
      <c r="A233" s="21" t="s">
        <v>40</v>
      </c>
      <c r="B233" s="21" t="s">
        <v>22</v>
      </c>
      <c r="C233" s="21" t="s">
        <v>38</v>
      </c>
      <c r="D233" s="21">
        <v>1</v>
      </c>
      <c r="E233" s="21" t="str">
        <f t="shared" si="6"/>
        <v>Liste!HY1</v>
      </c>
      <c r="F233" s="21">
        <v>233</v>
      </c>
      <c r="G233" s="21" t="s">
        <v>41</v>
      </c>
      <c r="H233" s="21" t="str">
        <f t="shared" si="7"/>
        <v>INDEX(Liste;$E$2;233)</v>
      </c>
    </row>
    <row r="234" spans="1:8" x14ac:dyDescent="0.2">
      <c r="A234" s="21" t="s">
        <v>40</v>
      </c>
      <c r="B234" s="21" t="s">
        <v>22</v>
      </c>
      <c r="C234" s="21" t="s">
        <v>39</v>
      </c>
      <c r="D234" s="21">
        <v>1</v>
      </c>
      <c r="E234" s="21" t="str">
        <f t="shared" si="6"/>
        <v>Liste!HZ1</v>
      </c>
      <c r="F234" s="21">
        <v>234</v>
      </c>
      <c r="G234" s="21" t="s">
        <v>41</v>
      </c>
      <c r="H234" s="21" t="str">
        <f t="shared" si="7"/>
        <v>INDEX(Liste;$E$2;234)</v>
      </c>
    </row>
    <row r="235" spans="1:8" x14ac:dyDescent="0.2">
      <c r="A235" s="21" t="s">
        <v>40</v>
      </c>
      <c r="B235" s="21" t="s">
        <v>23</v>
      </c>
      <c r="C235" s="21" t="s">
        <v>15</v>
      </c>
      <c r="D235" s="21">
        <v>1</v>
      </c>
      <c r="E235" s="21" t="str">
        <f t="shared" si="6"/>
        <v>Liste!IA1</v>
      </c>
      <c r="F235" s="21">
        <v>235</v>
      </c>
      <c r="G235" s="21" t="s">
        <v>41</v>
      </c>
      <c r="H235" s="21" t="str">
        <f t="shared" si="7"/>
        <v>INDEX(Liste;$E$2;235)</v>
      </c>
    </row>
    <row r="236" spans="1:8" x14ac:dyDescent="0.2">
      <c r="A236" s="21" t="s">
        <v>40</v>
      </c>
      <c r="B236" s="21" t="s">
        <v>23</v>
      </c>
      <c r="C236" s="21" t="s">
        <v>16</v>
      </c>
      <c r="D236" s="21">
        <v>1</v>
      </c>
      <c r="E236" s="21" t="str">
        <f t="shared" si="6"/>
        <v>Liste!IB1</v>
      </c>
      <c r="F236" s="21">
        <v>236</v>
      </c>
      <c r="G236" s="21" t="s">
        <v>41</v>
      </c>
      <c r="H236" s="21" t="str">
        <f t="shared" si="7"/>
        <v>INDEX(Liste;$E$2;236)</v>
      </c>
    </row>
    <row r="237" spans="1:8" x14ac:dyDescent="0.2">
      <c r="A237" s="21" t="s">
        <v>40</v>
      </c>
      <c r="B237" s="21" t="s">
        <v>23</v>
      </c>
      <c r="C237" s="21" t="s">
        <v>17</v>
      </c>
      <c r="D237" s="21">
        <v>1</v>
      </c>
      <c r="E237" s="21" t="str">
        <f t="shared" si="6"/>
        <v>Liste!IC1</v>
      </c>
      <c r="F237" s="21">
        <v>237</v>
      </c>
      <c r="G237" s="21" t="s">
        <v>41</v>
      </c>
      <c r="H237" s="21" t="str">
        <f t="shared" si="7"/>
        <v>INDEX(Liste;$E$2;237)</v>
      </c>
    </row>
    <row r="238" spans="1:8" x14ac:dyDescent="0.2">
      <c r="A238" s="21" t="s">
        <v>40</v>
      </c>
      <c r="B238" s="21" t="s">
        <v>23</v>
      </c>
      <c r="C238" s="21" t="s">
        <v>18</v>
      </c>
      <c r="D238" s="21">
        <v>1</v>
      </c>
      <c r="E238" s="21" t="str">
        <f t="shared" si="6"/>
        <v>Liste!ID1</v>
      </c>
      <c r="F238" s="21">
        <v>238</v>
      </c>
      <c r="G238" s="21" t="s">
        <v>41</v>
      </c>
      <c r="H238" s="21" t="str">
        <f t="shared" si="7"/>
        <v>INDEX(Liste;$E$2;238)</v>
      </c>
    </row>
    <row r="239" spans="1:8" x14ac:dyDescent="0.2">
      <c r="A239" s="21" t="s">
        <v>40</v>
      </c>
      <c r="B239" s="21" t="s">
        <v>23</v>
      </c>
      <c r="C239" s="21" t="s">
        <v>19</v>
      </c>
      <c r="D239" s="21">
        <v>1</v>
      </c>
      <c r="E239" s="21" t="str">
        <f t="shared" si="6"/>
        <v>Liste!IE1</v>
      </c>
      <c r="F239" s="21">
        <v>239</v>
      </c>
      <c r="G239" s="21" t="s">
        <v>41</v>
      </c>
      <c r="H239" s="21" t="str">
        <f t="shared" si="7"/>
        <v>INDEX(Liste;$E$2;239)</v>
      </c>
    </row>
    <row r="240" spans="1:8" x14ac:dyDescent="0.2">
      <c r="A240" s="21" t="s">
        <v>40</v>
      </c>
      <c r="B240" s="21" t="s">
        <v>23</v>
      </c>
      <c r="C240" s="21" t="s">
        <v>20</v>
      </c>
      <c r="D240" s="21">
        <v>1</v>
      </c>
      <c r="E240" s="21" t="str">
        <f t="shared" si="6"/>
        <v>Liste!IF1</v>
      </c>
      <c r="F240" s="21">
        <v>240</v>
      </c>
      <c r="G240" s="21" t="s">
        <v>41</v>
      </c>
      <c r="H240" s="21" t="str">
        <f t="shared" si="7"/>
        <v>INDEX(Liste;$E$2;240)</v>
      </c>
    </row>
    <row r="241" spans="1:8" x14ac:dyDescent="0.2">
      <c r="A241" s="21" t="s">
        <v>40</v>
      </c>
      <c r="B241" s="21" t="s">
        <v>23</v>
      </c>
      <c r="C241" s="21" t="s">
        <v>21</v>
      </c>
      <c r="D241" s="21">
        <v>1</v>
      </c>
      <c r="E241" s="21" t="str">
        <f t="shared" si="6"/>
        <v>Liste!IG1</v>
      </c>
      <c r="F241" s="21">
        <v>241</v>
      </c>
      <c r="G241" s="21" t="s">
        <v>41</v>
      </c>
      <c r="H241" s="21" t="str">
        <f t="shared" si="7"/>
        <v>INDEX(Liste;$E$2;241)</v>
      </c>
    </row>
    <row r="242" spans="1:8" x14ac:dyDescent="0.2">
      <c r="A242" s="21" t="s">
        <v>40</v>
      </c>
      <c r="B242" s="21" t="s">
        <v>23</v>
      </c>
      <c r="C242" s="21" t="s">
        <v>22</v>
      </c>
      <c r="D242" s="21">
        <v>1</v>
      </c>
      <c r="E242" s="21" t="str">
        <f t="shared" si="6"/>
        <v>Liste!IH1</v>
      </c>
      <c r="F242" s="21">
        <v>242</v>
      </c>
      <c r="G242" s="21" t="s">
        <v>41</v>
      </c>
      <c r="H242" s="21" t="str">
        <f t="shared" si="7"/>
        <v>INDEX(Liste;$E$2;242)</v>
      </c>
    </row>
    <row r="243" spans="1:8" x14ac:dyDescent="0.2">
      <c r="A243" s="21" t="s">
        <v>40</v>
      </c>
      <c r="B243" s="21" t="s">
        <v>23</v>
      </c>
      <c r="C243" s="21" t="s">
        <v>23</v>
      </c>
      <c r="D243" s="21">
        <v>1</v>
      </c>
      <c r="E243" s="21" t="str">
        <f t="shared" si="6"/>
        <v>Liste!II1</v>
      </c>
      <c r="F243" s="21">
        <v>243</v>
      </c>
      <c r="G243" s="21" t="s">
        <v>41</v>
      </c>
      <c r="H243" s="21" t="str">
        <f t="shared" si="7"/>
        <v>INDEX(Liste;$E$2;243)</v>
      </c>
    </row>
    <row r="244" spans="1:8" x14ac:dyDescent="0.2">
      <c r="A244" s="21" t="s">
        <v>40</v>
      </c>
      <c r="B244" s="21" t="s">
        <v>23</v>
      </c>
      <c r="C244" s="21" t="s">
        <v>24</v>
      </c>
      <c r="D244" s="21">
        <v>1</v>
      </c>
      <c r="E244" s="21" t="str">
        <f t="shared" si="6"/>
        <v>Liste!IJ1</v>
      </c>
      <c r="F244" s="21">
        <v>244</v>
      </c>
      <c r="G244" s="21" t="s">
        <v>41</v>
      </c>
      <c r="H244" s="21" t="str">
        <f t="shared" si="7"/>
        <v>INDEX(Liste;$E$2;244)</v>
      </c>
    </row>
    <row r="245" spans="1:8" x14ac:dyDescent="0.2">
      <c r="A245" s="21" t="s">
        <v>40</v>
      </c>
      <c r="B245" s="21" t="s">
        <v>23</v>
      </c>
      <c r="C245" s="21" t="s">
        <v>25</v>
      </c>
      <c r="D245" s="21">
        <v>1</v>
      </c>
      <c r="E245" s="21" t="str">
        <f t="shared" si="6"/>
        <v>Liste!IK1</v>
      </c>
      <c r="F245" s="21">
        <v>245</v>
      </c>
      <c r="G245" s="21" t="s">
        <v>41</v>
      </c>
      <c r="H245" s="21" t="str">
        <f t="shared" si="7"/>
        <v>INDEX(Liste;$E$2;245)</v>
      </c>
    </row>
    <row r="246" spans="1:8" x14ac:dyDescent="0.2">
      <c r="A246" s="21" t="s">
        <v>40</v>
      </c>
      <c r="B246" s="21" t="s">
        <v>23</v>
      </c>
      <c r="C246" s="21" t="s">
        <v>26</v>
      </c>
      <c r="D246" s="21">
        <v>1</v>
      </c>
      <c r="E246" s="21" t="str">
        <f t="shared" si="6"/>
        <v>Liste!IL1</v>
      </c>
      <c r="F246" s="21">
        <v>246</v>
      </c>
      <c r="G246" s="21" t="s">
        <v>41</v>
      </c>
      <c r="H246" s="21" t="str">
        <f t="shared" si="7"/>
        <v>INDEX(Liste;$E$2;246)</v>
      </c>
    </row>
    <row r="247" spans="1:8" x14ac:dyDescent="0.2">
      <c r="A247" s="21" t="s">
        <v>40</v>
      </c>
      <c r="B247" s="21" t="s">
        <v>23</v>
      </c>
      <c r="C247" s="21" t="s">
        <v>27</v>
      </c>
      <c r="D247" s="21">
        <v>1</v>
      </c>
      <c r="E247" s="21" t="str">
        <f t="shared" si="6"/>
        <v>Liste!IM1</v>
      </c>
      <c r="F247" s="21">
        <v>247</v>
      </c>
      <c r="G247" s="21" t="s">
        <v>41</v>
      </c>
      <c r="H247" s="21" t="str">
        <f t="shared" si="7"/>
        <v>INDEX(Liste;$E$2;247)</v>
      </c>
    </row>
    <row r="248" spans="1:8" x14ac:dyDescent="0.2">
      <c r="A248" s="21" t="s">
        <v>40</v>
      </c>
      <c r="B248" s="21" t="s">
        <v>23</v>
      </c>
      <c r="C248" s="21" t="s">
        <v>7</v>
      </c>
      <c r="D248" s="21">
        <v>1</v>
      </c>
      <c r="E248" s="21" t="str">
        <f t="shared" si="6"/>
        <v>Liste!IN1</v>
      </c>
      <c r="F248" s="21">
        <v>248</v>
      </c>
      <c r="G248" s="21" t="s">
        <v>41</v>
      </c>
      <c r="H248" s="21" t="str">
        <f t="shared" si="7"/>
        <v>INDEX(Liste;$E$2;248)</v>
      </c>
    </row>
    <row r="249" spans="1:8" x14ac:dyDescent="0.2">
      <c r="A249" s="21" t="s">
        <v>40</v>
      </c>
      <c r="B249" s="21" t="s">
        <v>23</v>
      </c>
      <c r="C249" s="21" t="s">
        <v>28</v>
      </c>
      <c r="D249" s="21">
        <v>1</v>
      </c>
      <c r="E249" s="21" t="str">
        <f t="shared" si="6"/>
        <v>Liste!IO1</v>
      </c>
      <c r="F249" s="21">
        <v>249</v>
      </c>
      <c r="G249" s="21" t="s">
        <v>41</v>
      </c>
      <c r="H249" s="21" t="str">
        <f t="shared" si="7"/>
        <v>INDEX(Liste;$E$2;249)</v>
      </c>
    </row>
    <row r="250" spans="1:8" x14ac:dyDescent="0.2">
      <c r="A250" s="21" t="s">
        <v>40</v>
      </c>
      <c r="B250" s="21" t="s">
        <v>23</v>
      </c>
      <c r="C250" s="21" t="s">
        <v>29</v>
      </c>
      <c r="D250" s="21">
        <v>1</v>
      </c>
      <c r="E250" s="21" t="str">
        <f t="shared" si="6"/>
        <v>Liste!IP1</v>
      </c>
      <c r="F250" s="21">
        <v>250</v>
      </c>
      <c r="G250" s="21" t="s">
        <v>41</v>
      </c>
      <c r="H250" s="21" t="str">
        <f t="shared" si="7"/>
        <v>INDEX(Liste;$E$2;250)</v>
      </c>
    </row>
    <row r="251" spans="1:8" x14ac:dyDescent="0.2">
      <c r="A251" s="21" t="s">
        <v>40</v>
      </c>
      <c r="B251" s="21" t="s">
        <v>23</v>
      </c>
      <c r="C251" s="21" t="s">
        <v>30</v>
      </c>
      <c r="D251" s="21">
        <v>1</v>
      </c>
      <c r="E251" s="21" t="str">
        <f t="shared" si="6"/>
        <v>Liste!IQ1</v>
      </c>
      <c r="F251" s="21">
        <v>251</v>
      </c>
      <c r="G251" s="21" t="s">
        <v>41</v>
      </c>
      <c r="H251" s="21" t="str">
        <f t="shared" si="7"/>
        <v>INDEX(Liste;$E$2;251)</v>
      </c>
    </row>
    <row r="252" spans="1:8" x14ac:dyDescent="0.2">
      <c r="A252" s="21" t="s">
        <v>40</v>
      </c>
      <c r="B252" s="21" t="s">
        <v>23</v>
      </c>
      <c r="C252" s="21" t="s">
        <v>31</v>
      </c>
      <c r="D252" s="21">
        <v>1</v>
      </c>
      <c r="E252" s="21" t="str">
        <f t="shared" si="6"/>
        <v>Liste!IR1</v>
      </c>
      <c r="F252" s="21">
        <v>252</v>
      </c>
      <c r="G252" s="21" t="s">
        <v>41</v>
      </c>
      <c r="H252" s="21" t="str">
        <f t="shared" si="7"/>
        <v>INDEX(Liste;$E$2;252)</v>
      </c>
    </row>
    <row r="253" spans="1:8" x14ac:dyDescent="0.2">
      <c r="A253" s="21" t="s">
        <v>40</v>
      </c>
      <c r="B253" s="21" t="s">
        <v>23</v>
      </c>
      <c r="C253" s="21" t="s">
        <v>32</v>
      </c>
      <c r="D253" s="21">
        <v>1</v>
      </c>
      <c r="E253" s="21" t="str">
        <f t="shared" si="6"/>
        <v>Liste!IS1</v>
      </c>
      <c r="F253" s="21">
        <v>253</v>
      </c>
      <c r="G253" s="21" t="s">
        <v>41</v>
      </c>
      <c r="H253" s="21" t="str">
        <f t="shared" si="7"/>
        <v>INDEX(Liste;$E$2;253)</v>
      </c>
    </row>
    <row r="254" spans="1:8" x14ac:dyDescent="0.2">
      <c r="A254" s="21" t="s">
        <v>40</v>
      </c>
      <c r="B254" s="21" t="s">
        <v>23</v>
      </c>
      <c r="C254" s="21" t="s">
        <v>33</v>
      </c>
      <c r="D254" s="21">
        <v>1</v>
      </c>
      <c r="E254" s="21" t="str">
        <f t="shared" si="6"/>
        <v>Liste!IT1</v>
      </c>
      <c r="F254" s="21">
        <v>254</v>
      </c>
      <c r="G254" s="21" t="s">
        <v>41</v>
      </c>
      <c r="H254" s="21" t="str">
        <f t="shared" si="7"/>
        <v>INDEX(Liste;$E$2;254)</v>
      </c>
    </row>
    <row r="255" spans="1:8" x14ac:dyDescent="0.2">
      <c r="A255" s="21" t="s">
        <v>40</v>
      </c>
      <c r="B255" s="21" t="s">
        <v>23</v>
      </c>
      <c r="C255" s="21" t="s">
        <v>34</v>
      </c>
      <c r="D255" s="21">
        <v>1</v>
      </c>
      <c r="E255" s="21" t="str">
        <f t="shared" si="6"/>
        <v>Liste!IU1</v>
      </c>
      <c r="F255" s="21">
        <v>255</v>
      </c>
      <c r="G255" s="21" t="s">
        <v>41</v>
      </c>
      <c r="H255" s="21" t="str">
        <f t="shared" si="7"/>
        <v>INDEX(Liste;$E$2;255)</v>
      </c>
    </row>
    <row r="256" spans="1:8" x14ac:dyDescent="0.2">
      <c r="A256" s="21" t="s">
        <v>40</v>
      </c>
      <c r="B256" s="21" t="s">
        <v>23</v>
      </c>
      <c r="C256" s="21" t="s">
        <v>35</v>
      </c>
      <c r="D256" s="21">
        <v>1</v>
      </c>
      <c r="E256" s="21" t="str">
        <f t="shared" si="6"/>
        <v>Liste!IV1</v>
      </c>
      <c r="F256" s="21">
        <v>256</v>
      </c>
      <c r="G256" s="21" t="s">
        <v>41</v>
      </c>
      <c r="H256" s="21" t="str">
        <f t="shared" si="7"/>
        <v>INDEX(Liste;$E$2;256)</v>
      </c>
    </row>
    <row r="257" spans="1:8" x14ac:dyDescent="0.2">
      <c r="A257" s="21" t="s">
        <v>40</v>
      </c>
      <c r="B257" s="21" t="s">
        <v>23</v>
      </c>
      <c r="C257" s="21" t="s">
        <v>36</v>
      </c>
      <c r="D257" s="21">
        <v>1</v>
      </c>
      <c r="E257" s="21" t="str">
        <f t="shared" si="6"/>
        <v>Liste!IW1</v>
      </c>
      <c r="F257" s="21">
        <v>257</v>
      </c>
      <c r="G257" s="21" t="s">
        <v>41</v>
      </c>
      <c r="H257" s="21" t="str">
        <f t="shared" si="7"/>
        <v>INDEX(Liste;$E$2;257)</v>
      </c>
    </row>
    <row r="258" spans="1:8" x14ac:dyDescent="0.2">
      <c r="A258" s="21" t="s">
        <v>40</v>
      </c>
      <c r="B258" s="21" t="s">
        <v>23</v>
      </c>
      <c r="C258" s="21" t="s">
        <v>37</v>
      </c>
      <c r="D258" s="21">
        <v>1</v>
      </c>
      <c r="E258" s="21" t="str">
        <f t="shared" ref="E258:E321" si="8">A258&amp;B258&amp;C258&amp;D258</f>
        <v>Liste!IX1</v>
      </c>
      <c r="F258" s="21">
        <v>258</v>
      </c>
      <c r="G258" s="21" t="s">
        <v>41</v>
      </c>
      <c r="H258" s="21" t="str">
        <f t="shared" si="7"/>
        <v>INDEX(Liste;$E$2;258)</v>
      </c>
    </row>
    <row r="259" spans="1:8" x14ac:dyDescent="0.2">
      <c r="A259" s="21" t="s">
        <v>40</v>
      </c>
      <c r="B259" s="21" t="s">
        <v>23</v>
      </c>
      <c r="C259" s="21" t="s">
        <v>38</v>
      </c>
      <c r="D259" s="21">
        <v>1</v>
      </c>
      <c r="E259" s="21" t="str">
        <f t="shared" si="8"/>
        <v>Liste!IY1</v>
      </c>
      <c r="F259" s="21">
        <v>259</v>
      </c>
      <c r="G259" s="21" t="s">
        <v>41</v>
      </c>
      <c r="H259" s="21" t="str">
        <f t="shared" ref="H259:H322" si="9">G259&amp;F259&amp;")"</f>
        <v>INDEX(Liste;$E$2;259)</v>
      </c>
    </row>
    <row r="260" spans="1:8" x14ac:dyDescent="0.2">
      <c r="A260" s="21" t="s">
        <v>40</v>
      </c>
      <c r="B260" s="21" t="s">
        <v>23</v>
      </c>
      <c r="C260" s="21" t="s">
        <v>39</v>
      </c>
      <c r="D260" s="21">
        <v>1</v>
      </c>
      <c r="E260" s="21" t="str">
        <f t="shared" si="8"/>
        <v>Liste!IZ1</v>
      </c>
      <c r="F260" s="21">
        <v>260</v>
      </c>
      <c r="G260" s="21" t="s">
        <v>41</v>
      </c>
      <c r="H260" s="21" t="str">
        <f t="shared" si="9"/>
        <v>INDEX(Liste;$E$2;260)</v>
      </c>
    </row>
    <row r="261" spans="1:8" x14ac:dyDescent="0.2">
      <c r="A261" s="21" t="s">
        <v>40</v>
      </c>
      <c r="B261" s="21" t="s">
        <v>24</v>
      </c>
      <c r="C261" s="21" t="s">
        <v>15</v>
      </c>
      <c r="D261" s="21">
        <v>1</v>
      </c>
      <c r="E261" s="21" t="str">
        <f t="shared" si="8"/>
        <v>Liste!JA1</v>
      </c>
      <c r="F261" s="21">
        <v>261</v>
      </c>
      <c r="G261" s="21" t="s">
        <v>41</v>
      </c>
      <c r="H261" s="21" t="str">
        <f t="shared" si="9"/>
        <v>INDEX(Liste;$E$2;261)</v>
      </c>
    </row>
    <row r="262" spans="1:8" x14ac:dyDescent="0.2">
      <c r="A262" s="21" t="s">
        <v>40</v>
      </c>
      <c r="B262" s="21" t="s">
        <v>24</v>
      </c>
      <c r="C262" s="21" t="s">
        <v>16</v>
      </c>
      <c r="D262" s="21">
        <v>1</v>
      </c>
      <c r="E262" s="21" t="str">
        <f t="shared" si="8"/>
        <v>Liste!JB1</v>
      </c>
      <c r="F262" s="21">
        <v>262</v>
      </c>
      <c r="G262" s="21" t="s">
        <v>41</v>
      </c>
      <c r="H262" s="21" t="str">
        <f t="shared" si="9"/>
        <v>INDEX(Liste;$E$2;262)</v>
      </c>
    </row>
    <row r="263" spans="1:8" x14ac:dyDescent="0.2">
      <c r="A263" s="21" t="s">
        <v>40</v>
      </c>
      <c r="B263" s="21" t="s">
        <v>24</v>
      </c>
      <c r="C263" s="21" t="s">
        <v>17</v>
      </c>
      <c r="D263" s="21">
        <v>1</v>
      </c>
      <c r="E263" s="21" t="str">
        <f t="shared" si="8"/>
        <v>Liste!JC1</v>
      </c>
      <c r="F263" s="21">
        <v>263</v>
      </c>
      <c r="G263" s="21" t="s">
        <v>41</v>
      </c>
      <c r="H263" s="21" t="str">
        <f t="shared" si="9"/>
        <v>INDEX(Liste;$E$2;263)</v>
      </c>
    </row>
    <row r="264" spans="1:8" x14ac:dyDescent="0.2">
      <c r="A264" s="21" t="s">
        <v>40</v>
      </c>
      <c r="B264" s="21" t="s">
        <v>24</v>
      </c>
      <c r="C264" s="21" t="s">
        <v>18</v>
      </c>
      <c r="D264" s="21">
        <v>1</v>
      </c>
      <c r="E264" s="21" t="str">
        <f t="shared" si="8"/>
        <v>Liste!JD1</v>
      </c>
      <c r="F264" s="21">
        <v>264</v>
      </c>
      <c r="G264" s="21" t="s">
        <v>41</v>
      </c>
      <c r="H264" s="21" t="str">
        <f t="shared" si="9"/>
        <v>INDEX(Liste;$E$2;264)</v>
      </c>
    </row>
    <row r="265" spans="1:8" x14ac:dyDescent="0.2">
      <c r="A265" s="21" t="s">
        <v>40</v>
      </c>
      <c r="B265" s="21" t="s">
        <v>24</v>
      </c>
      <c r="C265" s="21" t="s">
        <v>19</v>
      </c>
      <c r="D265" s="21">
        <v>1</v>
      </c>
      <c r="E265" s="21" t="str">
        <f t="shared" si="8"/>
        <v>Liste!JE1</v>
      </c>
      <c r="F265" s="21">
        <v>265</v>
      </c>
      <c r="G265" s="21" t="s">
        <v>41</v>
      </c>
      <c r="H265" s="21" t="str">
        <f t="shared" si="9"/>
        <v>INDEX(Liste;$E$2;265)</v>
      </c>
    </row>
    <row r="266" spans="1:8" x14ac:dyDescent="0.2">
      <c r="A266" s="21" t="s">
        <v>40</v>
      </c>
      <c r="B266" s="21" t="s">
        <v>24</v>
      </c>
      <c r="C266" s="21" t="s">
        <v>20</v>
      </c>
      <c r="D266" s="21">
        <v>1</v>
      </c>
      <c r="E266" s="21" t="str">
        <f t="shared" si="8"/>
        <v>Liste!JF1</v>
      </c>
      <c r="F266" s="21">
        <v>266</v>
      </c>
      <c r="G266" s="21" t="s">
        <v>41</v>
      </c>
      <c r="H266" s="21" t="str">
        <f t="shared" si="9"/>
        <v>INDEX(Liste;$E$2;266)</v>
      </c>
    </row>
    <row r="267" spans="1:8" x14ac:dyDescent="0.2">
      <c r="A267" s="21" t="s">
        <v>40</v>
      </c>
      <c r="B267" s="21" t="s">
        <v>24</v>
      </c>
      <c r="C267" s="21" t="s">
        <v>21</v>
      </c>
      <c r="D267" s="21">
        <v>1</v>
      </c>
      <c r="E267" s="21" t="str">
        <f t="shared" si="8"/>
        <v>Liste!JG1</v>
      </c>
      <c r="F267" s="21">
        <v>267</v>
      </c>
      <c r="G267" s="21" t="s">
        <v>41</v>
      </c>
      <c r="H267" s="21" t="str">
        <f t="shared" si="9"/>
        <v>INDEX(Liste;$E$2;267)</v>
      </c>
    </row>
    <row r="268" spans="1:8" x14ac:dyDescent="0.2">
      <c r="A268" s="21" t="s">
        <v>40</v>
      </c>
      <c r="B268" s="21" t="s">
        <v>24</v>
      </c>
      <c r="C268" s="21" t="s">
        <v>22</v>
      </c>
      <c r="D268" s="21">
        <v>1</v>
      </c>
      <c r="E268" s="21" t="str">
        <f t="shared" si="8"/>
        <v>Liste!JH1</v>
      </c>
      <c r="F268" s="21">
        <v>268</v>
      </c>
      <c r="G268" s="21" t="s">
        <v>41</v>
      </c>
      <c r="H268" s="21" t="str">
        <f t="shared" si="9"/>
        <v>INDEX(Liste;$E$2;268)</v>
      </c>
    </row>
    <row r="269" spans="1:8" x14ac:dyDescent="0.2">
      <c r="A269" s="21" t="s">
        <v>40</v>
      </c>
      <c r="B269" s="21" t="s">
        <v>24</v>
      </c>
      <c r="C269" s="21" t="s">
        <v>23</v>
      </c>
      <c r="D269" s="21">
        <v>1</v>
      </c>
      <c r="E269" s="21" t="str">
        <f t="shared" si="8"/>
        <v>Liste!JI1</v>
      </c>
      <c r="F269" s="21">
        <v>269</v>
      </c>
      <c r="G269" s="21" t="s">
        <v>41</v>
      </c>
      <c r="H269" s="21" t="str">
        <f t="shared" si="9"/>
        <v>INDEX(Liste;$E$2;269)</v>
      </c>
    </row>
    <row r="270" spans="1:8" x14ac:dyDescent="0.2">
      <c r="A270" s="21" t="s">
        <v>40</v>
      </c>
      <c r="B270" s="21" t="s">
        <v>24</v>
      </c>
      <c r="C270" s="21" t="s">
        <v>24</v>
      </c>
      <c r="D270" s="21">
        <v>1</v>
      </c>
      <c r="E270" s="21" t="str">
        <f t="shared" si="8"/>
        <v>Liste!JJ1</v>
      </c>
      <c r="F270" s="21">
        <v>270</v>
      </c>
      <c r="G270" s="21" t="s">
        <v>41</v>
      </c>
      <c r="H270" s="21" t="str">
        <f t="shared" si="9"/>
        <v>INDEX(Liste;$E$2;270)</v>
      </c>
    </row>
    <row r="271" spans="1:8" x14ac:dyDescent="0.2">
      <c r="A271" s="21" t="s">
        <v>40</v>
      </c>
      <c r="B271" s="21" t="s">
        <v>24</v>
      </c>
      <c r="C271" s="21" t="s">
        <v>25</v>
      </c>
      <c r="D271" s="21">
        <v>1</v>
      </c>
      <c r="E271" s="21" t="str">
        <f t="shared" si="8"/>
        <v>Liste!JK1</v>
      </c>
      <c r="F271" s="21">
        <v>271</v>
      </c>
      <c r="G271" s="21" t="s">
        <v>41</v>
      </c>
      <c r="H271" s="21" t="str">
        <f t="shared" si="9"/>
        <v>INDEX(Liste;$E$2;271)</v>
      </c>
    </row>
    <row r="272" spans="1:8" x14ac:dyDescent="0.2">
      <c r="A272" s="21" t="s">
        <v>40</v>
      </c>
      <c r="B272" s="21" t="s">
        <v>24</v>
      </c>
      <c r="C272" s="21" t="s">
        <v>26</v>
      </c>
      <c r="D272" s="21">
        <v>1</v>
      </c>
      <c r="E272" s="21" t="str">
        <f t="shared" si="8"/>
        <v>Liste!JL1</v>
      </c>
      <c r="F272" s="21">
        <v>272</v>
      </c>
      <c r="G272" s="21" t="s">
        <v>41</v>
      </c>
      <c r="H272" s="21" t="str">
        <f t="shared" si="9"/>
        <v>INDEX(Liste;$E$2;272)</v>
      </c>
    </row>
    <row r="273" spans="1:8" x14ac:dyDescent="0.2">
      <c r="A273" s="21" t="s">
        <v>40</v>
      </c>
      <c r="B273" s="21" t="s">
        <v>24</v>
      </c>
      <c r="C273" s="21" t="s">
        <v>27</v>
      </c>
      <c r="D273" s="21">
        <v>1</v>
      </c>
      <c r="E273" s="21" t="str">
        <f t="shared" si="8"/>
        <v>Liste!JM1</v>
      </c>
      <c r="F273" s="21">
        <v>273</v>
      </c>
      <c r="G273" s="21" t="s">
        <v>41</v>
      </c>
      <c r="H273" s="21" t="str">
        <f t="shared" si="9"/>
        <v>INDEX(Liste;$E$2;273)</v>
      </c>
    </row>
    <row r="274" spans="1:8" x14ac:dyDescent="0.2">
      <c r="A274" s="21" t="s">
        <v>40</v>
      </c>
      <c r="B274" s="21" t="s">
        <v>24</v>
      </c>
      <c r="C274" s="21" t="s">
        <v>7</v>
      </c>
      <c r="D274" s="21">
        <v>1</v>
      </c>
      <c r="E274" s="21" t="str">
        <f t="shared" si="8"/>
        <v>Liste!JN1</v>
      </c>
      <c r="F274" s="21">
        <v>274</v>
      </c>
      <c r="G274" s="21" t="s">
        <v>41</v>
      </c>
      <c r="H274" s="21" t="str">
        <f t="shared" si="9"/>
        <v>INDEX(Liste;$E$2;274)</v>
      </c>
    </row>
    <row r="275" spans="1:8" x14ac:dyDescent="0.2">
      <c r="A275" s="21" t="s">
        <v>40</v>
      </c>
      <c r="B275" s="21" t="s">
        <v>24</v>
      </c>
      <c r="C275" s="21" t="s">
        <v>28</v>
      </c>
      <c r="D275" s="21">
        <v>1</v>
      </c>
      <c r="E275" s="21" t="str">
        <f t="shared" si="8"/>
        <v>Liste!JO1</v>
      </c>
      <c r="F275" s="21">
        <v>275</v>
      </c>
      <c r="G275" s="21" t="s">
        <v>41</v>
      </c>
      <c r="H275" s="21" t="str">
        <f t="shared" si="9"/>
        <v>INDEX(Liste;$E$2;275)</v>
      </c>
    </row>
    <row r="276" spans="1:8" x14ac:dyDescent="0.2">
      <c r="A276" s="21" t="s">
        <v>40</v>
      </c>
      <c r="B276" s="21" t="s">
        <v>24</v>
      </c>
      <c r="C276" s="21" t="s">
        <v>29</v>
      </c>
      <c r="D276" s="21">
        <v>1</v>
      </c>
      <c r="E276" s="21" t="str">
        <f t="shared" si="8"/>
        <v>Liste!JP1</v>
      </c>
      <c r="F276" s="21">
        <v>276</v>
      </c>
      <c r="G276" s="21" t="s">
        <v>41</v>
      </c>
      <c r="H276" s="21" t="str">
        <f t="shared" si="9"/>
        <v>INDEX(Liste;$E$2;276)</v>
      </c>
    </row>
    <row r="277" spans="1:8" x14ac:dyDescent="0.2">
      <c r="A277" s="21" t="s">
        <v>40</v>
      </c>
      <c r="B277" s="21" t="s">
        <v>24</v>
      </c>
      <c r="C277" s="21" t="s">
        <v>30</v>
      </c>
      <c r="D277" s="21">
        <v>1</v>
      </c>
      <c r="E277" s="21" t="str">
        <f t="shared" si="8"/>
        <v>Liste!JQ1</v>
      </c>
      <c r="F277" s="21">
        <v>277</v>
      </c>
      <c r="G277" s="21" t="s">
        <v>41</v>
      </c>
      <c r="H277" s="21" t="str">
        <f t="shared" si="9"/>
        <v>INDEX(Liste;$E$2;277)</v>
      </c>
    </row>
    <row r="278" spans="1:8" x14ac:dyDescent="0.2">
      <c r="A278" s="21" t="s">
        <v>40</v>
      </c>
      <c r="B278" s="21" t="s">
        <v>24</v>
      </c>
      <c r="C278" s="21" t="s">
        <v>31</v>
      </c>
      <c r="D278" s="21">
        <v>1</v>
      </c>
      <c r="E278" s="21" t="str">
        <f t="shared" si="8"/>
        <v>Liste!JR1</v>
      </c>
      <c r="F278" s="21">
        <v>278</v>
      </c>
      <c r="G278" s="21" t="s">
        <v>41</v>
      </c>
      <c r="H278" s="21" t="str">
        <f t="shared" si="9"/>
        <v>INDEX(Liste;$E$2;278)</v>
      </c>
    </row>
    <row r="279" spans="1:8" x14ac:dyDescent="0.2">
      <c r="A279" s="21" t="s">
        <v>40</v>
      </c>
      <c r="B279" s="21" t="s">
        <v>24</v>
      </c>
      <c r="C279" s="21" t="s">
        <v>32</v>
      </c>
      <c r="D279" s="21">
        <v>1</v>
      </c>
      <c r="E279" s="21" t="str">
        <f t="shared" si="8"/>
        <v>Liste!JS1</v>
      </c>
      <c r="F279" s="21">
        <v>279</v>
      </c>
      <c r="G279" s="21" t="s">
        <v>41</v>
      </c>
      <c r="H279" s="21" t="str">
        <f t="shared" si="9"/>
        <v>INDEX(Liste;$E$2;279)</v>
      </c>
    </row>
    <row r="280" spans="1:8" x14ac:dyDescent="0.2">
      <c r="A280" s="21" t="s">
        <v>40</v>
      </c>
      <c r="B280" s="21" t="s">
        <v>24</v>
      </c>
      <c r="C280" s="21" t="s">
        <v>33</v>
      </c>
      <c r="D280" s="21">
        <v>1</v>
      </c>
      <c r="E280" s="21" t="str">
        <f t="shared" si="8"/>
        <v>Liste!JT1</v>
      </c>
      <c r="F280" s="21">
        <v>280</v>
      </c>
      <c r="G280" s="21" t="s">
        <v>41</v>
      </c>
      <c r="H280" s="21" t="str">
        <f t="shared" si="9"/>
        <v>INDEX(Liste;$E$2;280)</v>
      </c>
    </row>
    <row r="281" spans="1:8" x14ac:dyDescent="0.2">
      <c r="A281" s="21" t="s">
        <v>40</v>
      </c>
      <c r="B281" s="21" t="s">
        <v>24</v>
      </c>
      <c r="C281" s="21" t="s">
        <v>34</v>
      </c>
      <c r="D281" s="21">
        <v>1</v>
      </c>
      <c r="E281" s="21" t="str">
        <f t="shared" si="8"/>
        <v>Liste!JU1</v>
      </c>
      <c r="F281" s="21">
        <v>281</v>
      </c>
      <c r="G281" s="21" t="s">
        <v>41</v>
      </c>
      <c r="H281" s="21" t="str">
        <f t="shared" si="9"/>
        <v>INDEX(Liste;$E$2;281)</v>
      </c>
    </row>
    <row r="282" spans="1:8" x14ac:dyDescent="0.2">
      <c r="A282" s="21" t="s">
        <v>40</v>
      </c>
      <c r="B282" s="21" t="s">
        <v>24</v>
      </c>
      <c r="C282" s="21" t="s">
        <v>35</v>
      </c>
      <c r="D282" s="21">
        <v>1</v>
      </c>
      <c r="E282" s="21" t="str">
        <f t="shared" si="8"/>
        <v>Liste!JV1</v>
      </c>
      <c r="F282" s="21">
        <v>282</v>
      </c>
      <c r="G282" s="21" t="s">
        <v>41</v>
      </c>
      <c r="H282" s="21" t="str">
        <f t="shared" si="9"/>
        <v>INDEX(Liste;$E$2;282)</v>
      </c>
    </row>
    <row r="283" spans="1:8" x14ac:dyDescent="0.2">
      <c r="A283" s="21" t="s">
        <v>40</v>
      </c>
      <c r="B283" s="21" t="s">
        <v>24</v>
      </c>
      <c r="C283" s="21" t="s">
        <v>36</v>
      </c>
      <c r="D283" s="21">
        <v>1</v>
      </c>
      <c r="E283" s="21" t="str">
        <f t="shared" si="8"/>
        <v>Liste!JW1</v>
      </c>
      <c r="F283" s="21">
        <v>283</v>
      </c>
      <c r="G283" s="21" t="s">
        <v>41</v>
      </c>
      <c r="H283" s="21" t="str">
        <f t="shared" si="9"/>
        <v>INDEX(Liste;$E$2;283)</v>
      </c>
    </row>
    <row r="284" spans="1:8" x14ac:dyDescent="0.2">
      <c r="A284" s="21" t="s">
        <v>40</v>
      </c>
      <c r="B284" s="21" t="s">
        <v>24</v>
      </c>
      <c r="C284" s="21" t="s">
        <v>37</v>
      </c>
      <c r="D284" s="21">
        <v>1</v>
      </c>
      <c r="E284" s="21" t="str">
        <f t="shared" si="8"/>
        <v>Liste!JX1</v>
      </c>
      <c r="F284" s="21">
        <v>284</v>
      </c>
      <c r="G284" s="21" t="s">
        <v>41</v>
      </c>
      <c r="H284" s="21" t="str">
        <f t="shared" si="9"/>
        <v>INDEX(Liste;$E$2;284)</v>
      </c>
    </row>
    <row r="285" spans="1:8" x14ac:dyDescent="0.2">
      <c r="A285" s="21" t="s">
        <v>40</v>
      </c>
      <c r="B285" s="21" t="s">
        <v>24</v>
      </c>
      <c r="C285" s="21" t="s">
        <v>38</v>
      </c>
      <c r="D285" s="21">
        <v>1</v>
      </c>
      <c r="E285" s="21" t="str">
        <f t="shared" si="8"/>
        <v>Liste!JY1</v>
      </c>
      <c r="F285" s="21">
        <v>285</v>
      </c>
      <c r="G285" s="21" t="s">
        <v>41</v>
      </c>
      <c r="H285" s="21" t="str">
        <f t="shared" si="9"/>
        <v>INDEX(Liste;$E$2;285)</v>
      </c>
    </row>
    <row r="286" spans="1:8" x14ac:dyDescent="0.2">
      <c r="A286" s="21" t="s">
        <v>40</v>
      </c>
      <c r="B286" s="21" t="s">
        <v>24</v>
      </c>
      <c r="C286" s="21" t="s">
        <v>39</v>
      </c>
      <c r="D286" s="21">
        <v>1</v>
      </c>
      <c r="E286" s="21" t="str">
        <f t="shared" si="8"/>
        <v>Liste!JZ1</v>
      </c>
      <c r="F286" s="21">
        <v>286</v>
      </c>
      <c r="G286" s="21" t="s">
        <v>41</v>
      </c>
      <c r="H286" s="21" t="str">
        <f t="shared" si="9"/>
        <v>INDEX(Liste;$E$2;286)</v>
      </c>
    </row>
    <row r="287" spans="1:8" x14ac:dyDescent="0.2">
      <c r="A287" s="21" t="s">
        <v>40</v>
      </c>
      <c r="B287" s="21" t="s">
        <v>25</v>
      </c>
      <c r="C287" s="21" t="s">
        <v>15</v>
      </c>
      <c r="D287" s="21">
        <v>1</v>
      </c>
      <c r="E287" s="21" t="str">
        <f t="shared" si="8"/>
        <v>Liste!KA1</v>
      </c>
      <c r="F287" s="21">
        <v>287</v>
      </c>
      <c r="G287" s="21" t="s">
        <v>41</v>
      </c>
      <c r="H287" s="21" t="str">
        <f t="shared" si="9"/>
        <v>INDEX(Liste;$E$2;287)</v>
      </c>
    </row>
    <row r="288" spans="1:8" x14ac:dyDescent="0.2">
      <c r="A288" s="21" t="s">
        <v>40</v>
      </c>
      <c r="B288" s="21" t="s">
        <v>25</v>
      </c>
      <c r="C288" s="21" t="s">
        <v>16</v>
      </c>
      <c r="D288" s="21">
        <v>1</v>
      </c>
      <c r="E288" s="21" t="str">
        <f t="shared" si="8"/>
        <v>Liste!KB1</v>
      </c>
      <c r="F288" s="21">
        <v>288</v>
      </c>
      <c r="G288" s="21" t="s">
        <v>41</v>
      </c>
      <c r="H288" s="21" t="str">
        <f t="shared" si="9"/>
        <v>INDEX(Liste;$E$2;288)</v>
      </c>
    </row>
    <row r="289" spans="1:8" x14ac:dyDescent="0.2">
      <c r="A289" s="21" t="s">
        <v>40</v>
      </c>
      <c r="B289" s="21" t="s">
        <v>25</v>
      </c>
      <c r="C289" s="21" t="s">
        <v>17</v>
      </c>
      <c r="D289" s="21">
        <v>1</v>
      </c>
      <c r="E289" s="21" t="str">
        <f t="shared" si="8"/>
        <v>Liste!KC1</v>
      </c>
      <c r="F289" s="21">
        <v>289</v>
      </c>
      <c r="G289" s="21" t="s">
        <v>41</v>
      </c>
      <c r="H289" s="21" t="str">
        <f t="shared" si="9"/>
        <v>INDEX(Liste;$E$2;289)</v>
      </c>
    </row>
    <row r="290" spans="1:8" x14ac:dyDescent="0.2">
      <c r="A290" s="21" t="s">
        <v>40</v>
      </c>
      <c r="B290" s="21" t="s">
        <v>25</v>
      </c>
      <c r="C290" s="21" t="s">
        <v>18</v>
      </c>
      <c r="D290" s="21">
        <v>1</v>
      </c>
      <c r="E290" s="21" t="str">
        <f t="shared" si="8"/>
        <v>Liste!KD1</v>
      </c>
      <c r="F290" s="21">
        <v>290</v>
      </c>
      <c r="G290" s="21" t="s">
        <v>41</v>
      </c>
      <c r="H290" s="21" t="str">
        <f t="shared" si="9"/>
        <v>INDEX(Liste;$E$2;290)</v>
      </c>
    </row>
    <row r="291" spans="1:8" x14ac:dyDescent="0.2">
      <c r="A291" s="21" t="s">
        <v>40</v>
      </c>
      <c r="B291" s="21" t="s">
        <v>25</v>
      </c>
      <c r="C291" s="21" t="s">
        <v>19</v>
      </c>
      <c r="D291" s="21">
        <v>1</v>
      </c>
      <c r="E291" s="21" t="str">
        <f t="shared" si="8"/>
        <v>Liste!KE1</v>
      </c>
      <c r="F291" s="21">
        <v>291</v>
      </c>
      <c r="G291" s="21" t="s">
        <v>41</v>
      </c>
      <c r="H291" s="21" t="str">
        <f t="shared" si="9"/>
        <v>INDEX(Liste;$E$2;291)</v>
      </c>
    </row>
    <row r="292" spans="1:8" x14ac:dyDescent="0.2">
      <c r="A292" s="21" t="s">
        <v>40</v>
      </c>
      <c r="B292" s="21" t="s">
        <v>25</v>
      </c>
      <c r="C292" s="21" t="s">
        <v>20</v>
      </c>
      <c r="D292" s="21">
        <v>1</v>
      </c>
      <c r="E292" s="21" t="str">
        <f t="shared" si="8"/>
        <v>Liste!KF1</v>
      </c>
      <c r="F292" s="21">
        <v>292</v>
      </c>
      <c r="G292" s="21" t="s">
        <v>41</v>
      </c>
      <c r="H292" s="21" t="str">
        <f t="shared" si="9"/>
        <v>INDEX(Liste;$E$2;292)</v>
      </c>
    </row>
    <row r="293" spans="1:8" x14ac:dyDescent="0.2">
      <c r="A293" s="21" t="s">
        <v>40</v>
      </c>
      <c r="B293" s="21" t="s">
        <v>25</v>
      </c>
      <c r="C293" s="21" t="s">
        <v>21</v>
      </c>
      <c r="D293" s="21">
        <v>1</v>
      </c>
      <c r="E293" s="21" t="str">
        <f t="shared" si="8"/>
        <v>Liste!KG1</v>
      </c>
      <c r="F293" s="21">
        <v>293</v>
      </c>
      <c r="G293" s="21" t="s">
        <v>41</v>
      </c>
      <c r="H293" s="21" t="str">
        <f t="shared" si="9"/>
        <v>INDEX(Liste;$E$2;293)</v>
      </c>
    </row>
    <row r="294" spans="1:8" x14ac:dyDescent="0.2">
      <c r="A294" s="21" t="s">
        <v>40</v>
      </c>
      <c r="B294" s="21" t="s">
        <v>25</v>
      </c>
      <c r="C294" s="21" t="s">
        <v>22</v>
      </c>
      <c r="D294" s="21">
        <v>1</v>
      </c>
      <c r="E294" s="21" t="str">
        <f t="shared" si="8"/>
        <v>Liste!KH1</v>
      </c>
      <c r="F294" s="21">
        <v>294</v>
      </c>
      <c r="G294" s="21" t="s">
        <v>41</v>
      </c>
      <c r="H294" s="21" t="str">
        <f t="shared" si="9"/>
        <v>INDEX(Liste;$E$2;294)</v>
      </c>
    </row>
    <row r="295" spans="1:8" x14ac:dyDescent="0.2">
      <c r="A295" s="21" t="s">
        <v>40</v>
      </c>
      <c r="B295" s="21" t="s">
        <v>25</v>
      </c>
      <c r="C295" s="21" t="s">
        <v>23</v>
      </c>
      <c r="D295" s="21">
        <v>1</v>
      </c>
      <c r="E295" s="21" t="str">
        <f t="shared" si="8"/>
        <v>Liste!KI1</v>
      </c>
      <c r="F295" s="21">
        <v>295</v>
      </c>
      <c r="G295" s="21" t="s">
        <v>41</v>
      </c>
      <c r="H295" s="21" t="str">
        <f t="shared" si="9"/>
        <v>INDEX(Liste;$E$2;295)</v>
      </c>
    </row>
    <row r="296" spans="1:8" x14ac:dyDescent="0.2">
      <c r="A296" s="21" t="s">
        <v>40</v>
      </c>
      <c r="B296" s="21" t="s">
        <v>25</v>
      </c>
      <c r="C296" s="21" t="s">
        <v>24</v>
      </c>
      <c r="D296" s="21">
        <v>1</v>
      </c>
      <c r="E296" s="21" t="str">
        <f t="shared" si="8"/>
        <v>Liste!KJ1</v>
      </c>
      <c r="F296" s="21">
        <v>296</v>
      </c>
      <c r="G296" s="21" t="s">
        <v>41</v>
      </c>
      <c r="H296" s="21" t="str">
        <f t="shared" si="9"/>
        <v>INDEX(Liste;$E$2;296)</v>
      </c>
    </row>
    <row r="297" spans="1:8" x14ac:dyDescent="0.2">
      <c r="A297" s="21" t="s">
        <v>40</v>
      </c>
      <c r="B297" s="21" t="s">
        <v>25</v>
      </c>
      <c r="C297" s="21" t="s">
        <v>25</v>
      </c>
      <c r="D297" s="21">
        <v>1</v>
      </c>
      <c r="E297" s="21" t="str">
        <f t="shared" si="8"/>
        <v>Liste!KK1</v>
      </c>
      <c r="F297" s="21">
        <v>297</v>
      </c>
      <c r="G297" s="21" t="s">
        <v>41</v>
      </c>
      <c r="H297" s="21" t="str">
        <f t="shared" si="9"/>
        <v>INDEX(Liste;$E$2;297)</v>
      </c>
    </row>
    <row r="298" spans="1:8" x14ac:dyDescent="0.2">
      <c r="A298" s="21" t="s">
        <v>40</v>
      </c>
      <c r="B298" s="21" t="s">
        <v>25</v>
      </c>
      <c r="C298" s="21" t="s">
        <v>26</v>
      </c>
      <c r="D298" s="21">
        <v>1</v>
      </c>
      <c r="E298" s="21" t="str">
        <f t="shared" si="8"/>
        <v>Liste!KL1</v>
      </c>
      <c r="F298" s="21">
        <v>298</v>
      </c>
      <c r="G298" s="21" t="s">
        <v>41</v>
      </c>
      <c r="H298" s="21" t="str">
        <f t="shared" si="9"/>
        <v>INDEX(Liste;$E$2;298)</v>
      </c>
    </row>
    <row r="299" spans="1:8" x14ac:dyDescent="0.2">
      <c r="A299" s="21" t="s">
        <v>40</v>
      </c>
      <c r="B299" s="21" t="s">
        <v>25</v>
      </c>
      <c r="C299" s="21" t="s">
        <v>27</v>
      </c>
      <c r="D299" s="21">
        <v>1</v>
      </c>
      <c r="E299" s="21" t="str">
        <f t="shared" si="8"/>
        <v>Liste!KM1</v>
      </c>
      <c r="F299" s="21">
        <v>299</v>
      </c>
      <c r="G299" s="21" t="s">
        <v>41</v>
      </c>
      <c r="H299" s="21" t="str">
        <f t="shared" si="9"/>
        <v>INDEX(Liste;$E$2;299)</v>
      </c>
    </row>
    <row r="300" spans="1:8" x14ac:dyDescent="0.2">
      <c r="A300" s="21" t="s">
        <v>40</v>
      </c>
      <c r="B300" s="21" t="s">
        <v>25</v>
      </c>
      <c r="C300" s="21" t="s">
        <v>7</v>
      </c>
      <c r="D300" s="21">
        <v>1</v>
      </c>
      <c r="E300" s="21" t="str">
        <f t="shared" si="8"/>
        <v>Liste!KN1</v>
      </c>
      <c r="F300" s="21">
        <v>300</v>
      </c>
      <c r="G300" s="21" t="s">
        <v>41</v>
      </c>
      <c r="H300" s="21" t="str">
        <f t="shared" si="9"/>
        <v>INDEX(Liste;$E$2;300)</v>
      </c>
    </row>
    <row r="301" spans="1:8" x14ac:dyDescent="0.2">
      <c r="A301" s="21" t="s">
        <v>40</v>
      </c>
      <c r="B301" s="21" t="s">
        <v>25</v>
      </c>
      <c r="C301" s="21" t="s">
        <v>28</v>
      </c>
      <c r="D301" s="21">
        <v>1</v>
      </c>
      <c r="E301" s="21" t="str">
        <f t="shared" si="8"/>
        <v>Liste!KO1</v>
      </c>
      <c r="F301" s="21">
        <v>301</v>
      </c>
      <c r="G301" s="21" t="s">
        <v>41</v>
      </c>
      <c r="H301" s="21" t="str">
        <f t="shared" si="9"/>
        <v>INDEX(Liste;$E$2;301)</v>
      </c>
    </row>
    <row r="302" spans="1:8" x14ac:dyDescent="0.2">
      <c r="A302" s="21" t="s">
        <v>40</v>
      </c>
      <c r="B302" s="21" t="s">
        <v>25</v>
      </c>
      <c r="C302" s="21" t="s">
        <v>29</v>
      </c>
      <c r="D302" s="21">
        <v>1</v>
      </c>
      <c r="E302" s="21" t="str">
        <f t="shared" si="8"/>
        <v>Liste!KP1</v>
      </c>
      <c r="F302" s="21">
        <v>302</v>
      </c>
      <c r="G302" s="21" t="s">
        <v>41</v>
      </c>
      <c r="H302" s="21" t="str">
        <f t="shared" si="9"/>
        <v>INDEX(Liste;$E$2;302)</v>
      </c>
    </row>
    <row r="303" spans="1:8" x14ac:dyDescent="0.2">
      <c r="A303" s="21" t="s">
        <v>40</v>
      </c>
      <c r="B303" s="21" t="s">
        <v>25</v>
      </c>
      <c r="C303" s="21" t="s">
        <v>30</v>
      </c>
      <c r="D303" s="21">
        <v>1</v>
      </c>
      <c r="E303" s="21" t="str">
        <f t="shared" si="8"/>
        <v>Liste!KQ1</v>
      </c>
      <c r="F303" s="21">
        <v>303</v>
      </c>
      <c r="G303" s="21" t="s">
        <v>41</v>
      </c>
      <c r="H303" s="21" t="str">
        <f t="shared" si="9"/>
        <v>INDEX(Liste;$E$2;303)</v>
      </c>
    </row>
    <row r="304" spans="1:8" x14ac:dyDescent="0.2">
      <c r="A304" s="21" t="s">
        <v>40</v>
      </c>
      <c r="B304" s="21" t="s">
        <v>25</v>
      </c>
      <c r="C304" s="21" t="s">
        <v>31</v>
      </c>
      <c r="D304" s="21">
        <v>1</v>
      </c>
      <c r="E304" s="21" t="str">
        <f t="shared" si="8"/>
        <v>Liste!KR1</v>
      </c>
      <c r="F304" s="21">
        <v>304</v>
      </c>
      <c r="G304" s="21" t="s">
        <v>41</v>
      </c>
      <c r="H304" s="21" t="str">
        <f t="shared" si="9"/>
        <v>INDEX(Liste;$E$2;304)</v>
      </c>
    </row>
    <row r="305" spans="1:8" x14ac:dyDescent="0.2">
      <c r="A305" s="21" t="s">
        <v>40</v>
      </c>
      <c r="B305" s="21" t="s">
        <v>25</v>
      </c>
      <c r="C305" s="21" t="s">
        <v>32</v>
      </c>
      <c r="D305" s="21">
        <v>1</v>
      </c>
      <c r="E305" s="21" t="str">
        <f t="shared" si="8"/>
        <v>Liste!KS1</v>
      </c>
      <c r="F305" s="21">
        <v>305</v>
      </c>
      <c r="G305" s="21" t="s">
        <v>41</v>
      </c>
      <c r="H305" s="21" t="str">
        <f t="shared" si="9"/>
        <v>INDEX(Liste;$E$2;305)</v>
      </c>
    </row>
    <row r="306" spans="1:8" x14ac:dyDescent="0.2">
      <c r="A306" s="21" t="s">
        <v>40</v>
      </c>
      <c r="B306" s="21" t="s">
        <v>25</v>
      </c>
      <c r="C306" s="21" t="s">
        <v>33</v>
      </c>
      <c r="D306" s="21">
        <v>1</v>
      </c>
      <c r="E306" s="21" t="str">
        <f t="shared" si="8"/>
        <v>Liste!KT1</v>
      </c>
      <c r="F306" s="21">
        <v>306</v>
      </c>
      <c r="G306" s="21" t="s">
        <v>41</v>
      </c>
      <c r="H306" s="21" t="str">
        <f t="shared" si="9"/>
        <v>INDEX(Liste;$E$2;306)</v>
      </c>
    </row>
    <row r="307" spans="1:8" x14ac:dyDescent="0.2">
      <c r="A307" s="21" t="s">
        <v>40</v>
      </c>
      <c r="B307" s="21" t="s">
        <v>25</v>
      </c>
      <c r="C307" s="21" t="s">
        <v>34</v>
      </c>
      <c r="D307" s="21">
        <v>1</v>
      </c>
      <c r="E307" s="21" t="str">
        <f t="shared" si="8"/>
        <v>Liste!KU1</v>
      </c>
      <c r="F307" s="21">
        <v>307</v>
      </c>
      <c r="G307" s="21" t="s">
        <v>41</v>
      </c>
      <c r="H307" s="21" t="str">
        <f t="shared" si="9"/>
        <v>INDEX(Liste;$E$2;307)</v>
      </c>
    </row>
    <row r="308" spans="1:8" x14ac:dyDescent="0.2">
      <c r="A308" s="21" t="s">
        <v>40</v>
      </c>
      <c r="B308" s="21" t="s">
        <v>25</v>
      </c>
      <c r="C308" s="21" t="s">
        <v>35</v>
      </c>
      <c r="D308" s="21">
        <v>1</v>
      </c>
      <c r="E308" s="21" t="str">
        <f t="shared" si="8"/>
        <v>Liste!KV1</v>
      </c>
      <c r="F308" s="21">
        <v>308</v>
      </c>
      <c r="G308" s="21" t="s">
        <v>41</v>
      </c>
      <c r="H308" s="21" t="str">
        <f t="shared" si="9"/>
        <v>INDEX(Liste;$E$2;308)</v>
      </c>
    </row>
    <row r="309" spans="1:8" x14ac:dyDescent="0.2">
      <c r="A309" s="21" t="s">
        <v>40</v>
      </c>
      <c r="B309" s="21" t="s">
        <v>25</v>
      </c>
      <c r="C309" s="21" t="s">
        <v>36</v>
      </c>
      <c r="D309" s="21">
        <v>1</v>
      </c>
      <c r="E309" s="21" t="str">
        <f t="shared" si="8"/>
        <v>Liste!KW1</v>
      </c>
      <c r="F309" s="21">
        <v>309</v>
      </c>
      <c r="G309" s="21" t="s">
        <v>41</v>
      </c>
      <c r="H309" s="21" t="str">
        <f t="shared" si="9"/>
        <v>INDEX(Liste;$E$2;309)</v>
      </c>
    </row>
    <row r="310" spans="1:8" x14ac:dyDescent="0.2">
      <c r="A310" s="21" t="s">
        <v>40</v>
      </c>
      <c r="B310" s="21" t="s">
        <v>25</v>
      </c>
      <c r="C310" s="21" t="s">
        <v>37</v>
      </c>
      <c r="D310" s="21">
        <v>1</v>
      </c>
      <c r="E310" s="21" t="str">
        <f t="shared" si="8"/>
        <v>Liste!KX1</v>
      </c>
      <c r="F310" s="21">
        <v>310</v>
      </c>
      <c r="G310" s="21" t="s">
        <v>41</v>
      </c>
      <c r="H310" s="21" t="str">
        <f t="shared" si="9"/>
        <v>INDEX(Liste;$E$2;310)</v>
      </c>
    </row>
    <row r="311" spans="1:8" x14ac:dyDescent="0.2">
      <c r="A311" s="21" t="s">
        <v>40</v>
      </c>
      <c r="B311" s="21" t="s">
        <v>25</v>
      </c>
      <c r="C311" s="21" t="s">
        <v>38</v>
      </c>
      <c r="D311" s="21">
        <v>1</v>
      </c>
      <c r="E311" s="21" t="str">
        <f t="shared" si="8"/>
        <v>Liste!KY1</v>
      </c>
      <c r="F311" s="21">
        <v>311</v>
      </c>
      <c r="G311" s="21" t="s">
        <v>41</v>
      </c>
      <c r="H311" s="21" t="str">
        <f t="shared" si="9"/>
        <v>INDEX(Liste;$E$2;311)</v>
      </c>
    </row>
    <row r="312" spans="1:8" x14ac:dyDescent="0.2">
      <c r="A312" s="21" t="s">
        <v>40</v>
      </c>
      <c r="B312" s="21" t="s">
        <v>25</v>
      </c>
      <c r="C312" s="21" t="s">
        <v>39</v>
      </c>
      <c r="D312" s="21">
        <v>1</v>
      </c>
      <c r="E312" s="21" t="str">
        <f t="shared" si="8"/>
        <v>Liste!KZ1</v>
      </c>
      <c r="F312" s="21">
        <v>312</v>
      </c>
      <c r="G312" s="21" t="s">
        <v>41</v>
      </c>
      <c r="H312" s="21" t="str">
        <f t="shared" si="9"/>
        <v>INDEX(Liste;$E$2;312)</v>
      </c>
    </row>
    <row r="313" spans="1:8" x14ac:dyDescent="0.2">
      <c r="A313" s="21" t="s">
        <v>40</v>
      </c>
      <c r="B313" s="21" t="s">
        <v>26</v>
      </c>
      <c r="C313" s="21" t="s">
        <v>15</v>
      </c>
      <c r="D313" s="21">
        <v>1</v>
      </c>
      <c r="E313" s="21" t="str">
        <f t="shared" si="8"/>
        <v>Liste!LA1</v>
      </c>
      <c r="F313" s="21">
        <v>313</v>
      </c>
      <c r="G313" s="21" t="s">
        <v>41</v>
      </c>
      <c r="H313" s="21" t="str">
        <f t="shared" si="9"/>
        <v>INDEX(Liste;$E$2;313)</v>
      </c>
    </row>
    <row r="314" spans="1:8" x14ac:dyDescent="0.2">
      <c r="A314" s="21" t="s">
        <v>40</v>
      </c>
      <c r="B314" s="21" t="s">
        <v>26</v>
      </c>
      <c r="C314" s="21" t="s">
        <v>16</v>
      </c>
      <c r="D314" s="21">
        <v>1</v>
      </c>
      <c r="E314" s="21" t="str">
        <f t="shared" si="8"/>
        <v>Liste!LB1</v>
      </c>
      <c r="F314" s="21">
        <v>314</v>
      </c>
      <c r="G314" s="21" t="s">
        <v>41</v>
      </c>
      <c r="H314" s="21" t="str">
        <f t="shared" si="9"/>
        <v>INDEX(Liste;$E$2;314)</v>
      </c>
    </row>
    <row r="315" spans="1:8" x14ac:dyDescent="0.2">
      <c r="A315" s="21" t="s">
        <v>40</v>
      </c>
      <c r="B315" s="21" t="s">
        <v>26</v>
      </c>
      <c r="C315" s="21" t="s">
        <v>17</v>
      </c>
      <c r="D315" s="21">
        <v>1</v>
      </c>
      <c r="E315" s="21" t="str">
        <f t="shared" si="8"/>
        <v>Liste!LC1</v>
      </c>
      <c r="F315" s="21">
        <v>315</v>
      </c>
      <c r="G315" s="21" t="s">
        <v>41</v>
      </c>
      <c r="H315" s="21" t="str">
        <f t="shared" si="9"/>
        <v>INDEX(Liste;$E$2;315)</v>
      </c>
    </row>
    <row r="316" spans="1:8" x14ac:dyDescent="0.2">
      <c r="A316" s="21" t="s">
        <v>40</v>
      </c>
      <c r="B316" s="21" t="s">
        <v>26</v>
      </c>
      <c r="C316" s="21" t="s">
        <v>18</v>
      </c>
      <c r="D316" s="21">
        <v>1</v>
      </c>
      <c r="E316" s="21" t="str">
        <f t="shared" si="8"/>
        <v>Liste!LD1</v>
      </c>
      <c r="F316" s="21">
        <v>316</v>
      </c>
      <c r="G316" s="21" t="s">
        <v>41</v>
      </c>
      <c r="H316" s="21" t="str">
        <f t="shared" si="9"/>
        <v>INDEX(Liste;$E$2;316)</v>
      </c>
    </row>
    <row r="317" spans="1:8" x14ac:dyDescent="0.2">
      <c r="A317" s="21" t="s">
        <v>40</v>
      </c>
      <c r="B317" s="21" t="s">
        <v>26</v>
      </c>
      <c r="C317" s="21" t="s">
        <v>19</v>
      </c>
      <c r="D317" s="21">
        <v>1</v>
      </c>
      <c r="E317" s="21" t="str">
        <f t="shared" si="8"/>
        <v>Liste!LE1</v>
      </c>
      <c r="F317" s="21">
        <v>317</v>
      </c>
      <c r="G317" s="21" t="s">
        <v>41</v>
      </c>
      <c r="H317" s="21" t="str">
        <f t="shared" si="9"/>
        <v>INDEX(Liste;$E$2;317)</v>
      </c>
    </row>
    <row r="318" spans="1:8" x14ac:dyDescent="0.2">
      <c r="A318" s="21" t="s">
        <v>40</v>
      </c>
      <c r="B318" s="21" t="s">
        <v>26</v>
      </c>
      <c r="C318" s="21" t="s">
        <v>20</v>
      </c>
      <c r="D318" s="21">
        <v>1</v>
      </c>
      <c r="E318" s="21" t="str">
        <f t="shared" si="8"/>
        <v>Liste!LF1</v>
      </c>
      <c r="F318" s="21">
        <v>318</v>
      </c>
      <c r="G318" s="21" t="s">
        <v>41</v>
      </c>
      <c r="H318" s="21" t="str">
        <f t="shared" si="9"/>
        <v>INDEX(Liste;$E$2;318)</v>
      </c>
    </row>
    <row r="319" spans="1:8" x14ac:dyDescent="0.2">
      <c r="A319" s="21" t="s">
        <v>40</v>
      </c>
      <c r="B319" s="21" t="s">
        <v>26</v>
      </c>
      <c r="C319" s="21" t="s">
        <v>21</v>
      </c>
      <c r="D319" s="21">
        <v>1</v>
      </c>
      <c r="E319" s="21" t="str">
        <f t="shared" si="8"/>
        <v>Liste!LG1</v>
      </c>
      <c r="F319" s="21">
        <v>319</v>
      </c>
      <c r="G319" s="21" t="s">
        <v>41</v>
      </c>
      <c r="H319" s="21" t="str">
        <f t="shared" si="9"/>
        <v>INDEX(Liste;$E$2;319)</v>
      </c>
    </row>
    <row r="320" spans="1:8" x14ac:dyDescent="0.2">
      <c r="A320" s="21" t="s">
        <v>40</v>
      </c>
      <c r="B320" s="21" t="s">
        <v>26</v>
      </c>
      <c r="C320" s="21" t="s">
        <v>22</v>
      </c>
      <c r="D320" s="21">
        <v>1</v>
      </c>
      <c r="E320" s="21" t="str">
        <f t="shared" si="8"/>
        <v>Liste!LH1</v>
      </c>
      <c r="F320" s="21">
        <v>320</v>
      </c>
      <c r="G320" s="21" t="s">
        <v>41</v>
      </c>
      <c r="H320" s="21" t="str">
        <f t="shared" si="9"/>
        <v>INDEX(Liste;$E$2;320)</v>
      </c>
    </row>
    <row r="321" spans="1:8" x14ac:dyDescent="0.2">
      <c r="A321" s="21" t="s">
        <v>40</v>
      </c>
      <c r="B321" s="21" t="s">
        <v>26</v>
      </c>
      <c r="C321" s="21" t="s">
        <v>23</v>
      </c>
      <c r="D321" s="21">
        <v>1</v>
      </c>
      <c r="E321" s="21" t="str">
        <f t="shared" si="8"/>
        <v>Liste!LI1</v>
      </c>
      <c r="F321" s="21">
        <v>321</v>
      </c>
      <c r="G321" s="21" t="s">
        <v>41</v>
      </c>
      <c r="H321" s="21" t="str">
        <f t="shared" si="9"/>
        <v>INDEX(Liste;$E$2;321)</v>
      </c>
    </row>
    <row r="322" spans="1:8" x14ac:dyDescent="0.2">
      <c r="A322" s="21" t="s">
        <v>40</v>
      </c>
      <c r="B322" s="21" t="s">
        <v>26</v>
      </c>
      <c r="C322" s="21" t="s">
        <v>24</v>
      </c>
      <c r="D322" s="21">
        <v>1</v>
      </c>
      <c r="E322" s="21" t="str">
        <f t="shared" ref="E322:E385" si="10">A322&amp;B322&amp;C322&amp;D322</f>
        <v>Liste!LJ1</v>
      </c>
      <c r="F322" s="21">
        <v>322</v>
      </c>
      <c r="G322" s="21" t="s">
        <v>41</v>
      </c>
      <c r="H322" s="21" t="str">
        <f t="shared" si="9"/>
        <v>INDEX(Liste;$E$2;322)</v>
      </c>
    </row>
    <row r="323" spans="1:8" x14ac:dyDescent="0.2">
      <c r="A323" s="21" t="s">
        <v>40</v>
      </c>
      <c r="B323" s="21" t="s">
        <v>26</v>
      </c>
      <c r="C323" s="21" t="s">
        <v>25</v>
      </c>
      <c r="D323" s="21">
        <v>1</v>
      </c>
      <c r="E323" s="21" t="str">
        <f t="shared" si="10"/>
        <v>Liste!LK1</v>
      </c>
      <c r="F323" s="21">
        <v>323</v>
      </c>
      <c r="G323" s="21" t="s">
        <v>41</v>
      </c>
      <c r="H323" s="21" t="str">
        <f t="shared" ref="H323:H386" si="11">G323&amp;F323&amp;")"</f>
        <v>INDEX(Liste;$E$2;323)</v>
      </c>
    </row>
    <row r="324" spans="1:8" x14ac:dyDescent="0.2">
      <c r="A324" s="21" t="s">
        <v>40</v>
      </c>
      <c r="B324" s="21" t="s">
        <v>26</v>
      </c>
      <c r="C324" s="21" t="s">
        <v>26</v>
      </c>
      <c r="D324" s="21">
        <v>1</v>
      </c>
      <c r="E324" s="21" t="str">
        <f t="shared" si="10"/>
        <v>Liste!LL1</v>
      </c>
      <c r="F324" s="21">
        <v>324</v>
      </c>
      <c r="G324" s="21" t="s">
        <v>41</v>
      </c>
      <c r="H324" s="21" t="str">
        <f t="shared" si="11"/>
        <v>INDEX(Liste;$E$2;324)</v>
      </c>
    </row>
    <row r="325" spans="1:8" x14ac:dyDescent="0.2">
      <c r="A325" s="21" t="s">
        <v>40</v>
      </c>
      <c r="B325" s="21" t="s">
        <v>26</v>
      </c>
      <c r="C325" s="21" t="s">
        <v>27</v>
      </c>
      <c r="D325" s="21">
        <v>1</v>
      </c>
      <c r="E325" s="21" t="str">
        <f t="shared" si="10"/>
        <v>Liste!LM1</v>
      </c>
      <c r="F325" s="21">
        <v>325</v>
      </c>
      <c r="G325" s="21" t="s">
        <v>41</v>
      </c>
      <c r="H325" s="21" t="str">
        <f t="shared" si="11"/>
        <v>INDEX(Liste;$E$2;325)</v>
      </c>
    </row>
    <row r="326" spans="1:8" x14ac:dyDescent="0.2">
      <c r="A326" s="21" t="s">
        <v>40</v>
      </c>
      <c r="B326" s="21" t="s">
        <v>26</v>
      </c>
      <c r="C326" s="21" t="s">
        <v>7</v>
      </c>
      <c r="D326" s="21">
        <v>1</v>
      </c>
      <c r="E326" s="21" t="str">
        <f t="shared" si="10"/>
        <v>Liste!LN1</v>
      </c>
      <c r="F326" s="21">
        <v>326</v>
      </c>
      <c r="G326" s="21" t="s">
        <v>41</v>
      </c>
      <c r="H326" s="21" t="str">
        <f t="shared" si="11"/>
        <v>INDEX(Liste;$E$2;326)</v>
      </c>
    </row>
    <row r="327" spans="1:8" x14ac:dyDescent="0.2">
      <c r="A327" s="21" t="s">
        <v>40</v>
      </c>
      <c r="B327" s="21" t="s">
        <v>26</v>
      </c>
      <c r="C327" s="21" t="s">
        <v>28</v>
      </c>
      <c r="D327" s="21">
        <v>1</v>
      </c>
      <c r="E327" s="21" t="str">
        <f t="shared" si="10"/>
        <v>Liste!LO1</v>
      </c>
      <c r="F327" s="21">
        <v>327</v>
      </c>
      <c r="G327" s="21" t="s">
        <v>41</v>
      </c>
      <c r="H327" s="21" t="str">
        <f t="shared" si="11"/>
        <v>INDEX(Liste;$E$2;327)</v>
      </c>
    </row>
    <row r="328" spans="1:8" x14ac:dyDescent="0.2">
      <c r="A328" s="21" t="s">
        <v>40</v>
      </c>
      <c r="B328" s="21" t="s">
        <v>26</v>
      </c>
      <c r="C328" s="21" t="s">
        <v>29</v>
      </c>
      <c r="D328" s="21">
        <v>1</v>
      </c>
      <c r="E328" s="21" t="str">
        <f t="shared" si="10"/>
        <v>Liste!LP1</v>
      </c>
      <c r="F328" s="21">
        <v>328</v>
      </c>
      <c r="G328" s="21" t="s">
        <v>41</v>
      </c>
      <c r="H328" s="21" t="str">
        <f t="shared" si="11"/>
        <v>INDEX(Liste;$E$2;328)</v>
      </c>
    </row>
    <row r="329" spans="1:8" x14ac:dyDescent="0.2">
      <c r="A329" s="21" t="s">
        <v>40</v>
      </c>
      <c r="B329" s="21" t="s">
        <v>26</v>
      </c>
      <c r="C329" s="21" t="s">
        <v>30</v>
      </c>
      <c r="D329" s="21">
        <v>1</v>
      </c>
      <c r="E329" s="21" t="str">
        <f t="shared" si="10"/>
        <v>Liste!LQ1</v>
      </c>
      <c r="F329" s="21">
        <v>329</v>
      </c>
      <c r="G329" s="21" t="s">
        <v>41</v>
      </c>
      <c r="H329" s="21" t="str">
        <f t="shared" si="11"/>
        <v>INDEX(Liste;$E$2;329)</v>
      </c>
    </row>
    <row r="330" spans="1:8" x14ac:dyDescent="0.2">
      <c r="A330" s="21" t="s">
        <v>40</v>
      </c>
      <c r="B330" s="21" t="s">
        <v>26</v>
      </c>
      <c r="C330" s="21" t="s">
        <v>31</v>
      </c>
      <c r="D330" s="21">
        <v>1</v>
      </c>
      <c r="E330" s="21" t="str">
        <f t="shared" si="10"/>
        <v>Liste!LR1</v>
      </c>
      <c r="F330" s="21">
        <v>330</v>
      </c>
      <c r="G330" s="21" t="s">
        <v>41</v>
      </c>
      <c r="H330" s="21" t="str">
        <f t="shared" si="11"/>
        <v>INDEX(Liste;$E$2;330)</v>
      </c>
    </row>
    <row r="331" spans="1:8" x14ac:dyDescent="0.2">
      <c r="A331" s="21" t="s">
        <v>40</v>
      </c>
      <c r="B331" s="21" t="s">
        <v>26</v>
      </c>
      <c r="C331" s="21" t="s">
        <v>32</v>
      </c>
      <c r="D331" s="21">
        <v>1</v>
      </c>
      <c r="E331" s="21" t="str">
        <f t="shared" si="10"/>
        <v>Liste!LS1</v>
      </c>
      <c r="F331" s="21">
        <v>331</v>
      </c>
      <c r="G331" s="21" t="s">
        <v>41</v>
      </c>
      <c r="H331" s="21" t="str">
        <f t="shared" si="11"/>
        <v>INDEX(Liste;$E$2;331)</v>
      </c>
    </row>
    <row r="332" spans="1:8" x14ac:dyDescent="0.2">
      <c r="A332" s="21" t="s">
        <v>40</v>
      </c>
      <c r="B332" s="21" t="s">
        <v>26</v>
      </c>
      <c r="C332" s="21" t="s">
        <v>33</v>
      </c>
      <c r="D332" s="21">
        <v>1</v>
      </c>
      <c r="E332" s="21" t="str">
        <f t="shared" si="10"/>
        <v>Liste!LT1</v>
      </c>
      <c r="F332" s="21">
        <v>332</v>
      </c>
      <c r="G332" s="21" t="s">
        <v>41</v>
      </c>
      <c r="H332" s="21" t="str">
        <f t="shared" si="11"/>
        <v>INDEX(Liste;$E$2;332)</v>
      </c>
    </row>
    <row r="333" spans="1:8" x14ac:dyDescent="0.2">
      <c r="A333" s="21" t="s">
        <v>40</v>
      </c>
      <c r="B333" s="21" t="s">
        <v>26</v>
      </c>
      <c r="C333" s="21" t="s">
        <v>34</v>
      </c>
      <c r="D333" s="21">
        <v>1</v>
      </c>
      <c r="E333" s="21" t="str">
        <f t="shared" si="10"/>
        <v>Liste!LU1</v>
      </c>
      <c r="F333" s="21">
        <v>333</v>
      </c>
      <c r="G333" s="21" t="s">
        <v>41</v>
      </c>
      <c r="H333" s="21" t="str">
        <f t="shared" si="11"/>
        <v>INDEX(Liste;$E$2;333)</v>
      </c>
    </row>
    <row r="334" spans="1:8" x14ac:dyDescent="0.2">
      <c r="A334" s="21" t="s">
        <v>40</v>
      </c>
      <c r="B334" s="21" t="s">
        <v>26</v>
      </c>
      <c r="C334" s="21" t="s">
        <v>35</v>
      </c>
      <c r="D334" s="21">
        <v>1</v>
      </c>
      <c r="E334" s="21" t="str">
        <f t="shared" si="10"/>
        <v>Liste!LV1</v>
      </c>
      <c r="F334" s="21">
        <v>334</v>
      </c>
      <c r="G334" s="21" t="s">
        <v>41</v>
      </c>
      <c r="H334" s="21" t="str">
        <f t="shared" si="11"/>
        <v>INDEX(Liste;$E$2;334)</v>
      </c>
    </row>
    <row r="335" spans="1:8" x14ac:dyDescent="0.2">
      <c r="A335" s="21" t="s">
        <v>40</v>
      </c>
      <c r="B335" s="21" t="s">
        <v>26</v>
      </c>
      <c r="C335" s="21" t="s">
        <v>36</v>
      </c>
      <c r="D335" s="21">
        <v>1</v>
      </c>
      <c r="E335" s="21" t="str">
        <f t="shared" si="10"/>
        <v>Liste!LW1</v>
      </c>
      <c r="F335" s="21">
        <v>335</v>
      </c>
      <c r="G335" s="21" t="s">
        <v>41</v>
      </c>
      <c r="H335" s="21" t="str">
        <f t="shared" si="11"/>
        <v>INDEX(Liste;$E$2;335)</v>
      </c>
    </row>
    <row r="336" spans="1:8" x14ac:dyDescent="0.2">
      <c r="A336" s="21" t="s">
        <v>40</v>
      </c>
      <c r="B336" s="21" t="s">
        <v>26</v>
      </c>
      <c r="C336" s="21" t="s">
        <v>37</v>
      </c>
      <c r="D336" s="21">
        <v>1</v>
      </c>
      <c r="E336" s="21" t="str">
        <f t="shared" si="10"/>
        <v>Liste!LX1</v>
      </c>
      <c r="F336" s="21">
        <v>336</v>
      </c>
      <c r="G336" s="21" t="s">
        <v>41</v>
      </c>
      <c r="H336" s="21" t="str">
        <f t="shared" si="11"/>
        <v>INDEX(Liste;$E$2;336)</v>
      </c>
    </row>
    <row r="337" spans="1:8" x14ac:dyDescent="0.2">
      <c r="A337" s="21" t="s">
        <v>40</v>
      </c>
      <c r="B337" s="21" t="s">
        <v>26</v>
      </c>
      <c r="C337" s="21" t="s">
        <v>38</v>
      </c>
      <c r="D337" s="21">
        <v>1</v>
      </c>
      <c r="E337" s="21" t="str">
        <f t="shared" si="10"/>
        <v>Liste!LY1</v>
      </c>
      <c r="F337" s="21">
        <v>337</v>
      </c>
      <c r="G337" s="21" t="s">
        <v>41</v>
      </c>
      <c r="H337" s="21" t="str">
        <f t="shared" si="11"/>
        <v>INDEX(Liste;$E$2;337)</v>
      </c>
    </row>
    <row r="338" spans="1:8" x14ac:dyDescent="0.2">
      <c r="A338" s="21" t="s">
        <v>40</v>
      </c>
      <c r="B338" s="21" t="s">
        <v>26</v>
      </c>
      <c r="C338" s="21" t="s">
        <v>39</v>
      </c>
      <c r="D338" s="21">
        <v>1</v>
      </c>
      <c r="E338" s="21" t="str">
        <f t="shared" si="10"/>
        <v>Liste!LZ1</v>
      </c>
      <c r="F338" s="21">
        <v>338</v>
      </c>
      <c r="G338" s="21" t="s">
        <v>41</v>
      </c>
      <c r="H338" s="21" t="str">
        <f t="shared" si="11"/>
        <v>INDEX(Liste;$E$2;338)</v>
      </c>
    </row>
    <row r="339" spans="1:8" x14ac:dyDescent="0.2">
      <c r="A339" s="21" t="s">
        <v>40</v>
      </c>
      <c r="B339" t="s">
        <v>27</v>
      </c>
      <c r="C339" s="21" t="s">
        <v>15</v>
      </c>
      <c r="D339" s="21">
        <v>1</v>
      </c>
      <c r="E339" s="21" t="str">
        <f t="shared" si="10"/>
        <v>Liste!MA1</v>
      </c>
      <c r="F339" s="21">
        <v>339</v>
      </c>
      <c r="G339" s="21" t="s">
        <v>41</v>
      </c>
      <c r="H339" s="21" t="str">
        <f t="shared" si="11"/>
        <v>INDEX(Liste;$E$2;339)</v>
      </c>
    </row>
    <row r="340" spans="1:8" x14ac:dyDescent="0.2">
      <c r="A340" s="21" t="s">
        <v>40</v>
      </c>
      <c r="B340" s="21" t="s">
        <v>27</v>
      </c>
      <c r="C340" s="21" t="s">
        <v>16</v>
      </c>
      <c r="D340" s="21">
        <v>1</v>
      </c>
      <c r="E340" s="21" t="str">
        <f t="shared" si="10"/>
        <v>Liste!MB1</v>
      </c>
      <c r="F340" s="21">
        <v>340</v>
      </c>
      <c r="G340" s="21" t="s">
        <v>41</v>
      </c>
      <c r="H340" s="21" t="str">
        <f t="shared" si="11"/>
        <v>INDEX(Liste;$E$2;340)</v>
      </c>
    </row>
    <row r="341" spans="1:8" x14ac:dyDescent="0.2">
      <c r="A341" s="21" t="s">
        <v>40</v>
      </c>
      <c r="B341" s="21" t="s">
        <v>27</v>
      </c>
      <c r="C341" s="21" t="s">
        <v>17</v>
      </c>
      <c r="D341" s="21">
        <v>1</v>
      </c>
      <c r="E341" s="21" t="str">
        <f t="shared" si="10"/>
        <v>Liste!MC1</v>
      </c>
      <c r="F341" s="21">
        <v>341</v>
      </c>
      <c r="G341" s="21" t="s">
        <v>41</v>
      </c>
      <c r="H341" s="21" t="str">
        <f t="shared" si="11"/>
        <v>INDEX(Liste;$E$2;341)</v>
      </c>
    </row>
    <row r="342" spans="1:8" x14ac:dyDescent="0.2">
      <c r="A342" s="21" t="s">
        <v>40</v>
      </c>
      <c r="B342" s="21" t="s">
        <v>27</v>
      </c>
      <c r="C342" s="21" t="s">
        <v>18</v>
      </c>
      <c r="D342" s="21">
        <v>1</v>
      </c>
      <c r="E342" s="21" t="str">
        <f t="shared" si="10"/>
        <v>Liste!MD1</v>
      </c>
      <c r="F342" s="21">
        <v>342</v>
      </c>
      <c r="G342" s="21" t="s">
        <v>41</v>
      </c>
      <c r="H342" s="21" t="str">
        <f t="shared" si="11"/>
        <v>INDEX(Liste;$E$2;342)</v>
      </c>
    </row>
    <row r="343" spans="1:8" x14ac:dyDescent="0.2">
      <c r="A343" s="21" t="s">
        <v>40</v>
      </c>
      <c r="B343" s="21" t="s">
        <v>27</v>
      </c>
      <c r="C343" s="21" t="s">
        <v>19</v>
      </c>
      <c r="D343" s="21">
        <v>1</v>
      </c>
      <c r="E343" s="21" t="str">
        <f t="shared" si="10"/>
        <v>Liste!ME1</v>
      </c>
      <c r="F343" s="21">
        <v>343</v>
      </c>
      <c r="G343" s="21" t="s">
        <v>41</v>
      </c>
      <c r="H343" s="21" t="str">
        <f t="shared" si="11"/>
        <v>INDEX(Liste;$E$2;343)</v>
      </c>
    </row>
    <row r="344" spans="1:8" x14ac:dyDescent="0.2">
      <c r="A344" s="21" t="s">
        <v>40</v>
      </c>
      <c r="B344" s="21" t="s">
        <v>27</v>
      </c>
      <c r="C344" s="21" t="s">
        <v>20</v>
      </c>
      <c r="D344" s="21">
        <v>1</v>
      </c>
      <c r="E344" s="21" t="str">
        <f t="shared" si="10"/>
        <v>Liste!MF1</v>
      </c>
      <c r="F344" s="21">
        <v>344</v>
      </c>
      <c r="G344" s="21" t="s">
        <v>41</v>
      </c>
      <c r="H344" s="21" t="str">
        <f t="shared" si="11"/>
        <v>INDEX(Liste;$E$2;344)</v>
      </c>
    </row>
    <row r="345" spans="1:8" x14ac:dyDescent="0.2">
      <c r="A345" s="21" t="s">
        <v>40</v>
      </c>
      <c r="B345" s="21" t="s">
        <v>27</v>
      </c>
      <c r="C345" s="21" t="s">
        <v>21</v>
      </c>
      <c r="D345" s="21">
        <v>1</v>
      </c>
      <c r="E345" s="21" t="str">
        <f t="shared" si="10"/>
        <v>Liste!MG1</v>
      </c>
      <c r="F345" s="21">
        <v>345</v>
      </c>
      <c r="G345" s="21" t="s">
        <v>41</v>
      </c>
      <c r="H345" s="21" t="str">
        <f t="shared" si="11"/>
        <v>INDEX(Liste;$E$2;345)</v>
      </c>
    </row>
    <row r="346" spans="1:8" x14ac:dyDescent="0.2">
      <c r="A346" s="21" t="s">
        <v>40</v>
      </c>
      <c r="B346" s="21" t="s">
        <v>27</v>
      </c>
      <c r="C346" s="21" t="s">
        <v>22</v>
      </c>
      <c r="D346" s="21">
        <v>1</v>
      </c>
      <c r="E346" s="21" t="str">
        <f t="shared" si="10"/>
        <v>Liste!MH1</v>
      </c>
      <c r="F346" s="21">
        <v>346</v>
      </c>
      <c r="G346" s="21" t="s">
        <v>41</v>
      </c>
      <c r="H346" s="21" t="str">
        <f t="shared" si="11"/>
        <v>INDEX(Liste;$E$2;346)</v>
      </c>
    </row>
    <row r="347" spans="1:8" x14ac:dyDescent="0.2">
      <c r="A347" s="21" t="s">
        <v>40</v>
      </c>
      <c r="B347" s="21" t="s">
        <v>27</v>
      </c>
      <c r="C347" s="21" t="s">
        <v>23</v>
      </c>
      <c r="D347" s="21">
        <v>1</v>
      </c>
      <c r="E347" s="21" t="str">
        <f t="shared" si="10"/>
        <v>Liste!MI1</v>
      </c>
      <c r="F347" s="21">
        <v>347</v>
      </c>
      <c r="G347" s="21" t="s">
        <v>41</v>
      </c>
      <c r="H347" s="21" t="str">
        <f t="shared" si="11"/>
        <v>INDEX(Liste;$E$2;347)</v>
      </c>
    </row>
    <row r="348" spans="1:8" x14ac:dyDescent="0.2">
      <c r="A348" s="21" t="s">
        <v>40</v>
      </c>
      <c r="B348" s="21" t="s">
        <v>27</v>
      </c>
      <c r="C348" s="21" t="s">
        <v>24</v>
      </c>
      <c r="D348" s="21">
        <v>1</v>
      </c>
      <c r="E348" s="21" t="str">
        <f t="shared" si="10"/>
        <v>Liste!MJ1</v>
      </c>
      <c r="F348" s="21">
        <v>348</v>
      </c>
      <c r="G348" s="21" t="s">
        <v>41</v>
      </c>
      <c r="H348" s="21" t="str">
        <f t="shared" si="11"/>
        <v>INDEX(Liste;$E$2;348)</v>
      </c>
    </row>
    <row r="349" spans="1:8" x14ac:dyDescent="0.2">
      <c r="A349" s="21" t="s">
        <v>40</v>
      </c>
      <c r="B349" s="21" t="s">
        <v>27</v>
      </c>
      <c r="C349" s="21" t="s">
        <v>25</v>
      </c>
      <c r="D349" s="21">
        <v>1</v>
      </c>
      <c r="E349" s="21" t="str">
        <f t="shared" si="10"/>
        <v>Liste!MK1</v>
      </c>
      <c r="F349" s="21">
        <v>349</v>
      </c>
      <c r="G349" s="21" t="s">
        <v>41</v>
      </c>
      <c r="H349" s="21" t="str">
        <f t="shared" si="11"/>
        <v>INDEX(Liste;$E$2;349)</v>
      </c>
    </row>
    <row r="350" spans="1:8" x14ac:dyDescent="0.2">
      <c r="A350" s="21" t="s">
        <v>40</v>
      </c>
      <c r="B350" s="21" t="s">
        <v>27</v>
      </c>
      <c r="C350" s="21" t="s">
        <v>26</v>
      </c>
      <c r="D350" s="21">
        <v>1</v>
      </c>
      <c r="E350" s="21" t="str">
        <f t="shared" si="10"/>
        <v>Liste!ML1</v>
      </c>
      <c r="F350" s="21">
        <v>350</v>
      </c>
      <c r="G350" s="21" t="s">
        <v>41</v>
      </c>
      <c r="H350" s="21" t="str">
        <f t="shared" si="11"/>
        <v>INDEX(Liste;$E$2;350)</v>
      </c>
    </row>
    <row r="351" spans="1:8" x14ac:dyDescent="0.2">
      <c r="A351" s="21" t="s">
        <v>40</v>
      </c>
      <c r="B351" s="21" t="s">
        <v>27</v>
      </c>
      <c r="C351" s="21" t="s">
        <v>27</v>
      </c>
      <c r="D351" s="21">
        <v>1</v>
      </c>
      <c r="E351" s="21" t="str">
        <f t="shared" si="10"/>
        <v>Liste!MM1</v>
      </c>
      <c r="F351" s="21">
        <v>351</v>
      </c>
      <c r="G351" s="21" t="s">
        <v>41</v>
      </c>
      <c r="H351" s="21" t="str">
        <f t="shared" si="11"/>
        <v>INDEX(Liste;$E$2;351)</v>
      </c>
    </row>
    <row r="352" spans="1:8" x14ac:dyDescent="0.2">
      <c r="A352" s="21" t="s">
        <v>40</v>
      </c>
      <c r="B352" s="21" t="s">
        <v>27</v>
      </c>
      <c r="C352" s="21" t="s">
        <v>7</v>
      </c>
      <c r="D352" s="21">
        <v>1</v>
      </c>
      <c r="E352" s="21" t="str">
        <f t="shared" si="10"/>
        <v>Liste!MN1</v>
      </c>
      <c r="F352" s="21">
        <v>352</v>
      </c>
      <c r="G352" s="21" t="s">
        <v>41</v>
      </c>
      <c r="H352" s="21" t="str">
        <f t="shared" si="11"/>
        <v>INDEX(Liste;$E$2;352)</v>
      </c>
    </row>
    <row r="353" spans="1:8" x14ac:dyDescent="0.2">
      <c r="A353" s="21" t="s">
        <v>40</v>
      </c>
      <c r="B353" s="21" t="s">
        <v>27</v>
      </c>
      <c r="C353" s="21" t="s">
        <v>28</v>
      </c>
      <c r="D353" s="21">
        <v>1</v>
      </c>
      <c r="E353" s="21" t="str">
        <f t="shared" si="10"/>
        <v>Liste!MO1</v>
      </c>
      <c r="F353" s="21">
        <v>353</v>
      </c>
      <c r="G353" s="21" t="s">
        <v>41</v>
      </c>
      <c r="H353" s="21" t="str">
        <f t="shared" si="11"/>
        <v>INDEX(Liste;$E$2;353)</v>
      </c>
    </row>
    <row r="354" spans="1:8" x14ac:dyDescent="0.2">
      <c r="A354" s="21" t="s">
        <v>40</v>
      </c>
      <c r="B354" s="21" t="s">
        <v>27</v>
      </c>
      <c r="C354" s="21" t="s">
        <v>29</v>
      </c>
      <c r="D354" s="21">
        <v>1</v>
      </c>
      <c r="E354" s="21" t="str">
        <f t="shared" si="10"/>
        <v>Liste!MP1</v>
      </c>
      <c r="F354" s="21">
        <v>354</v>
      </c>
      <c r="G354" s="21" t="s">
        <v>41</v>
      </c>
      <c r="H354" s="21" t="str">
        <f t="shared" si="11"/>
        <v>INDEX(Liste;$E$2;354)</v>
      </c>
    </row>
    <row r="355" spans="1:8" x14ac:dyDescent="0.2">
      <c r="A355" s="21" t="s">
        <v>40</v>
      </c>
      <c r="B355" s="21" t="s">
        <v>27</v>
      </c>
      <c r="C355" s="21" t="s">
        <v>30</v>
      </c>
      <c r="D355" s="21">
        <v>1</v>
      </c>
      <c r="E355" s="21" t="str">
        <f t="shared" si="10"/>
        <v>Liste!MQ1</v>
      </c>
      <c r="F355" s="21">
        <v>355</v>
      </c>
      <c r="G355" s="21" t="s">
        <v>41</v>
      </c>
      <c r="H355" s="21" t="str">
        <f t="shared" si="11"/>
        <v>INDEX(Liste;$E$2;355)</v>
      </c>
    </row>
    <row r="356" spans="1:8" x14ac:dyDescent="0.2">
      <c r="A356" s="21" t="s">
        <v>40</v>
      </c>
      <c r="B356" s="21" t="s">
        <v>27</v>
      </c>
      <c r="C356" s="21" t="s">
        <v>31</v>
      </c>
      <c r="D356" s="21">
        <v>1</v>
      </c>
      <c r="E356" s="21" t="str">
        <f t="shared" si="10"/>
        <v>Liste!MR1</v>
      </c>
      <c r="F356" s="21">
        <v>356</v>
      </c>
      <c r="G356" s="21" t="s">
        <v>41</v>
      </c>
      <c r="H356" s="21" t="str">
        <f t="shared" si="11"/>
        <v>INDEX(Liste;$E$2;356)</v>
      </c>
    </row>
    <row r="357" spans="1:8" x14ac:dyDescent="0.2">
      <c r="A357" s="21" t="s">
        <v>40</v>
      </c>
      <c r="B357" s="21" t="s">
        <v>27</v>
      </c>
      <c r="C357" s="21" t="s">
        <v>32</v>
      </c>
      <c r="D357" s="21">
        <v>1</v>
      </c>
      <c r="E357" s="21" t="str">
        <f t="shared" si="10"/>
        <v>Liste!MS1</v>
      </c>
      <c r="F357" s="21">
        <v>357</v>
      </c>
      <c r="G357" s="21" t="s">
        <v>41</v>
      </c>
      <c r="H357" s="21" t="str">
        <f t="shared" si="11"/>
        <v>INDEX(Liste;$E$2;357)</v>
      </c>
    </row>
    <row r="358" spans="1:8" x14ac:dyDescent="0.2">
      <c r="A358" s="21" t="s">
        <v>40</v>
      </c>
      <c r="B358" s="21" t="s">
        <v>27</v>
      </c>
      <c r="C358" s="21" t="s">
        <v>33</v>
      </c>
      <c r="D358" s="21">
        <v>1</v>
      </c>
      <c r="E358" s="21" t="str">
        <f t="shared" si="10"/>
        <v>Liste!MT1</v>
      </c>
      <c r="F358" s="21">
        <v>358</v>
      </c>
      <c r="G358" s="21" t="s">
        <v>41</v>
      </c>
      <c r="H358" s="21" t="str">
        <f t="shared" si="11"/>
        <v>INDEX(Liste;$E$2;358)</v>
      </c>
    </row>
    <row r="359" spans="1:8" x14ac:dyDescent="0.2">
      <c r="A359" s="21" t="s">
        <v>40</v>
      </c>
      <c r="B359" s="21" t="s">
        <v>27</v>
      </c>
      <c r="C359" s="21" t="s">
        <v>34</v>
      </c>
      <c r="D359" s="21">
        <v>1</v>
      </c>
      <c r="E359" s="21" t="str">
        <f t="shared" si="10"/>
        <v>Liste!MU1</v>
      </c>
      <c r="F359" s="21">
        <v>359</v>
      </c>
      <c r="G359" s="21" t="s">
        <v>41</v>
      </c>
      <c r="H359" s="21" t="str">
        <f t="shared" si="11"/>
        <v>INDEX(Liste;$E$2;359)</v>
      </c>
    </row>
    <row r="360" spans="1:8" x14ac:dyDescent="0.2">
      <c r="A360" s="21" t="s">
        <v>40</v>
      </c>
      <c r="B360" s="21" t="s">
        <v>27</v>
      </c>
      <c r="C360" s="21" t="s">
        <v>35</v>
      </c>
      <c r="D360" s="21">
        <v>1</v>
      </c>
      <c r="E360" s="21" t="str">
        <f t="shared" si="10"/>
        <v>Liste!MV1</v>
      </c>
      <c r="F360" s="21">
        <v>360</v>
      </c>
      <c r="G360" s="21" t="s">
        <v>41</v>
      </c>
      <c r="H360" s="21" t="str">
        <f t="shared" si="11"/>
        <v>INDEX(Liste;$E$2;360)</v>
      </c>
    </row>
    <row r="361" spans="1:8" x14ac:dyDescent="0.2">
      <c r="A361" s="21" t="s">
        <v>40</v>
      </c>
      <c r="B361" s="21" t="s">
        <v>27</v>
      </c>
      <c r="C361" s="21" t="s">
        <v>36</v>
      </c>
      <c r="D361" s="21">
        <v>1</v>
      </c>
      <c r="E361" s="21" t="str">
        <f t="shared" si="10"/>
        <v>Liste!MW1</v>
      </c>
      <c r="F361" s="21">
        <v>361</v>
      </c>
      <c r="G361" s="21" t="s">
        <v>41</v>
      </c>
      <c r="H361" s="21" t="str">
        <f t="shared" si="11"/>
        <v>INDEX(Liste;$E$2;361)</v>
      </c>
    </row>
    <row r="362" spans="1:8" x14ac:dyDescent="0.2">
      <c r="A362" s="21" t="s">
        <v>40</v>
      </c>
      <c r="B362" s="21" t="s">
        <v>27</v>
      </c>
      <c r="C362" s="21" t="s">
        <v>37</v>
      </c>
      <c r="D362" s="21">
        <v>1</v>
      </c>
      <c r="E362" s="21" t="str">
        <f t="shared" si="10"/>
        <v>Liste!MX1</v>
      </c>
      <c r="F362" s="21">
        <v>362</v>
      </c>
      <c r="G362" s="21" t="s">
        <v>41</v>
      </c>
      <c r="H362" s="21" t="str">
        <f t="shared" si="11"/>
        <v>INDEX(Liste;$E$2;362)</v>
      </c>
    </row>
    <row r="363" spans="1:8" x14ac:dyDescent="0.2">
      <c r="A363" s="21" t="s">
        <v>40</v>
      </c>
      <c r="B363" s="21" t="s">
        <v>27</v>
      </c>
      <c r="C363" s="21" t="s">
        <v>38</v>
      </c>
      <c r="D363" s="21">
        <v>1</v>
      </c>
      <c r="E363" s="21" t="str">
        <f t="shared" si="10"/>
        <v>Liste!MY1</v>
      </c>
      <c r="F363" s="21">
        <v>363</v>
      </c>
      <c r="G363" s="21" t="s">
        <v>41</v>
      </c>
      <c r="H363" s="21" t="str">
        <f t="shared" si="11"/>
        <v>INDEX(Liste;$E$2;363)</v>
      </c>
    </row>
    <row r="364" spans="1:8" x14ac:dyDescent="0.2">
      <c r="A364" s="21" t="s">
        <v>40</v>
      </c>
      <c r="B364" s="21" t="s">
        <v>27</v>
      </c>
      <c r="C364" s="21" t="s">
        <v>39</v>
      </c>
      <c r="D364" s="21">
        <v>1</v>
      </c>
      <c r="E364" s="21" t="str">
        <f t="shared" si="10"/>
        <v>Liste!MZ1</v>
      </c>
      <c r="F364" s="21">
        <v>364</v>
      </c>
      <c r="G364" s="21" t="s">
        <v>41</v>
      </c>
      <c r="H364" s="21" t="str">
        <f t="shared" si="11"/>
        <v>INDEX(Liste;$E$2;364)</v>
      </c>
    </row>
    <row r="365" spans="1:8" x14ac:dyDescent="0.2">
      <c r="A365" s="21" t="s">
        <v>40</v>
      </c>
      <c r="B365" t="s">
        <v>7</v>
      </c>
      <c r="C365" s="21" t="s">
        <v>15</v>
      </c>
      <c r="D365" s="21">
        <v>1</v>
      </c>
      <c r="E365" s="21" t="str">
        <f t="shared" si="10"/>
        <v>Liste!NA1</v>
      </c>
      <c r="F365" s="21">
        <v>365</v>
      </c>
      <c r="G365" s="21" t="s">
        <v>41</v>
      </c>
      <c r="H365" s="21" t="str">
        <f t="shared" si="11"/>
        <v>INDEX(Liste;$E$2;365)</v>
      </c>
    </row>
    <row r="366" spans="1:8" x14ac:dyDescent="0.2">
      <c r="A366" s="21" t="s">
        <v>40</v>
      </c>
      <c r="B366" s="21" t="s">
        <v>7</v>
      </c>
      <c r="C366" s="21" t="s">
        <v>16</v>
      </c>
      <c r="D366" s="21">
        <v>1</v>
      </c>
      <c r="E366" s="21" t="str">
        <f t="shared" si="10"/>
        <v>Liste!NB1</v>
      </c>
      <c r="F366" s="21">
        <v>366</v>
      </c>
      <c r="G366" s="21" t="s">
        <v>41</v>
      </c>
      <c r="H366" s="21" t="str">
        <f t="shared" si="11"/>
        <v>INDEX(Liste;$E$2;366)</v>
      </c>
    </row>
    <row r="367" spans="1:8" x14ac:dyDescent="0.2">
      <c r="A367" s="21" t="s">
        <v>40</v>
      </c>
      <c r="B367" s="21" t="s">
        <v>7</v>
      </c>
      <c r="C367" s="21" t="s">
        <v>17</v>
      </c>
      <c r="D367" s="21">
        <v>1</v>
      </c>
      <c r="E367" s="21" t="str">
        <f t="shared" si="10"/>
        <v>Liste!NC1</v>
      </c>
      <c r="F367" s="21">
        <v>367</v>
      </c>
      <c r="G367" s="21" t="s">
        <v>41</v>
      </c>
      <c r="H367" s="21" t="str">
        <f t="shared" si="11"/>
        <v>INDEX(Liste;$E$2;367)</v>
      </c>
    </row>
    <row r="368" spans="1:8" x14ac:dyDescent="0.2">
      <c r="A368" s="21" t="s">
        <v>40</v>
      </c>
      <c r="B368" s="21" t="s">
        <v>7</v>
      </c>
      <c r="C368" s="21" t="s">
        <v>18</v>
      </c>
      <c r="D368" s="21">
        <v>1</v>
      </c>
      <c r="E368" s="21" t="str">
        <f t="shared" si="10"/>
        <v>Liste!ND1</v>
      </c>
      <c r="F368" s="21">
        <v>368</v>
      </c>
      <c r="G368" s="21" t="s">
        <v>41</v>
      </c>
      <c r="H368" s="21" t="str">
        <f t="shared" si="11"/>
        <v>INDEX(Liste;$E$2;368)</v>
      </c>
    </row>
    <row r="369" spans="1:8" x14ac:dyDescent="0.2">
      <c r="A369" s="21" t="s">
        <v>40</v>
      </c>
      <c r="B369" s="21" t="s">
        <v>7</v>
      </c>
      <c r="C369" s="21" t="s">
        <v>19</v>
      </c>
      <c r="D369" s="21">
        <v>1</v>
      </c>
      <c r="E369" s="21" t="str">
        <f t="shared" si="10"/>
        <v>Liste!NE1</v>
      </c>
      <c r="F369" s="21">
        <v>369</v>
      </c>
      <c r="G369" s="21" t="s">
        <v>41</v>
      </c>
      <c r="H369" s="21" t="str">
        <f t="shared" si="11"/>
        <v>INDEX(Liste;$E$2;369)</v>
      </c>
    </row>
    <row r="370" spans="1:8" x14ac:dyDescent="0.2">
      <c r="A370" s="21" t="s">
        <v>40</v>
      </c>
      <c r="B370" s="21" t="s">
        <v>7</v>
      </c>
      <c r="C370" s="21" t="s">
        <v>20</v>
      </c>
      <c r="D370" s="21">
        <v>1</v>
      </c>
      <c r="E370" s="21" t="str">
        <f t="shared" si="10"/>
        <v>Liste!NF1</v>
      </c>
      <c r="F370" s="21">
        <v>370</v>
      </c>
      <c r="G370" s="21" t="s">
        <v>41</v>
      </c>
      <c r="H370" s="21" t="str">
        <f t="shared" si="11"/>
        <v>INDEX(Liste;$E$2;370)</v>
      </c>
    </row>
    <row r="371" spans="1:8" x14ac:dyDescent="0.2">
      <c r="A371" s="21" t="s">
        <v>40</v>
      </c>
      <c r="B371" s="21" t="s">
        <v>7</v>
      </c>
      <c r="C371" s="21" t="s">
        <v>21</v>
      </c>
      <c r="D371" s="21">
        <v>1</v>
      </c>
      <c r="E371" s="21" t="str">
        <f t="shared" si="10"/>
        <v>Liste!NG1</v>
      </c>
      <c r="F371" s="21">
        <v>371</v>
      </c>
      <c r="G371" s="21" t="s">
        <v>41</v>
      </c>
      <c r="H371" s="21" t="str">
        <f t="shared" si="11"/>
        <v>INDEX(Liste;$E$2;371)</v>
      </c>
    </row>
    <row r="372" spans="1:8" x14ac:dyDescent="0.2">
      <c r="A372" s="21" t="s">
        <v>40</v>
      </c>
      <c r="B372" s="21" t="s">
        <v>7</v>
      </c>
      <c r="C372" s="21" t="s">
        <v>22</v>
      </c>
      <c r="D372" s="21">
        <v>1</v>
      </c>
      <c r="E372" s="21" t="str">
        <f t="shared" si="10"/>
        <v>Liste!NH1</v>
      </c>
      <c r="F372" s="21">
        <v>372</v>
      </c>
      <c r="G372" s="21" t="s">
        <v>41</v>
      </c>
      <c r="H372" s="21" t="str">
        <f t="shared" si="11"/>
        <v>INDEX(Liste;$E$2;372)</v>
      </c>
    </row>
    <row r="373" spans="1:8" x14ac:dyDescent="0.2">
      <c r="A373" s="21" t="s">
        <v>40</v>
      </c>
      <c r="B373" s="21" t="s">
        <v>7</v>
      </c>
      <c r="C373" s="21" t="s">
        <v>23</v>
      </c>
      <c r="D373" s="21">
        <v>1</v>
      </c>
      <c r="E373" s="21" t="str">
        <f t="shared" si="10"/>
        <v>Liste!NI1</v>
      </c>
      <c r="F373" s="21">
        <v>373</v>
      </c>
      <c r="G373" s="21" t="s">
        <v>41</v>
      </c>
      <c r="H373" s="21" t="str">
        <f t="shared" si="11"/>
        <v>INDEX(Liste;$E$2;373)</v>
      </c>
    </row>
    <row r="374" spans="1:8" x14ac:dyDescent="0.2">
      <c r="A374" s="21" t="s">
        <v>40</v>
      </c>
      <c r="B374" s="21" t="s">
        <v>7</v>
      </c>
      <c r="C374" s="21" t="s">
        <v>24</v>
      </c>
      <c r="D374" s="21">
        <v>1</v>
      </c>
      <c r="E374" s="21" t="str">
        <f t="shared" si="10"/>
        <v>Liste!NJ1</v>
      </c>
      <c r="F374" s="21">
        <v>374</v>
      </c>
      <c r="G374" s="21" t="s">
        <v>41</v>
      </c>
      <c r="H374" s="21" t="str">
        <f t="shared" si="11"/>
        <v>INDEX(Liste;$E$2;374)</v>
      </c>
    </row>
    <row r="375" spans="1:8" x14ac:dyDescent="0.2">
      <c r="A375" s="21" t="s">
        <v>40</v>
      </c>
      <c r="B375" s="21" t="s">
        <v>7</v>
      </c>
      <c r="C375" s="21" t="s">
        <v>25</v>
      </c>
      <c r="D375" s="21">
        <v>1</v>
      </c>
      <c r="E375" s="21" t="str">
        <f t="shared" si="10"/>
        <v>Liste!NK1</v>
      </c>
      <c r="F375" s="21">
        <v>375</v>
      </c>
      <c r="G375" s="21" t="s">
        <v>41</v>
      </c>
      <c r="H375" s="21" t="str">
        <f t="shared" si="11"/>
        <v>INDEX(Liste;$E$2;375)</v>
      </c>
    </row>
    <row r="376" spans="1:8" x14ac:dyDescent="0.2">
      <c r="A376" s="21" t="s">
        <v>40</v>
      </c>
      <c r="B376" s="21" t="s">
        <v>7</v>
      </c>
      <c r="C376" s="21" t="s">
        <v>26</v>
      </c>
      <c r="D376" s="21">
        <v>1</v>
      </c>
      <c r="E376" s="21" t="str">
        <f t="shared" si="10"/>
        <v>Liste!NL1</v>
      </c>
      <c r="F376" s="21">
        <v>376</v>
      </c>
      <c r="G376" s="21" t="s">
        <v>41</v>
      </c>
      <c r="H376" s="21" t="str">
        <f t="shared" si="11"/>
        <v>INDEX(Liste;$E$2;376)</v>
      </c>
    </row>
    <row r="377" spans="1:8" x14ac:dyDescent="0.2">
      <c r="A377" s="21" t="s">
        <v>40</v>
      </c>
      <c r="B377" s="21" t="s">
        <v>7</v>
      </c>
      <c r="C377" s="21" t="s">
        <v>27</v>
      </c>
      <c r="D377" s="21">
        <v>1</v>
      </c>
      <c r="E377" s="21" t="str">
        <f t="shared" si="10"/>
        <v>Liste!NM1</v>
      </c>
      <c r="F377" s="21">
        <v>377</v>
      </c>
      <c r="G377" s="21" t="s">
        <v>41</v>
      </c>
      <c r="H377" s="21" t="str">
        <f t="shared" si="11"/>
        <v>INDEX(Liste;$E$2;377)</v>
      </c>
    </row>
    <row r="378" spans="1:8" x14ac:dyDescent="0.2">
      <c r="A378" s="21" t="s">
        <v>40</v>
      </c>
      <c r="B378" s="21" t="s">
        <v>7</v>
      </c>
      <c r="C378" s="21" t="s">
        <v>7</v>
      </c>
      <c r="D378" s="21">
        <v>1</v>
      </c>
      <c r="E378" s="21" t="str">
        <f t="shared" si="10"/>
        <v>Liste!NN1</v>
      </c>
      <c r="F378" s="21">
        <v>378</v>
      </c>
      <c r="G378" s="21" t="s">
        <v>41</v>
      </c>
      <c r="H378" s="21" t="str">
        <f t="shared" si="11"/>
        <v>INDEX(Liste;$E$2;378)</v>
      </c>
    </row>
    <row r="379" spans="1:8" x14ac:dyDescent="0.2">
      <c r="A379" s="21" t="s">
        <v>40</v>
      </c>
      <c r="B379" s="21" t="s">
        <v>7</v>
      </c>
      <c r="C379" s="21" t="s">
        <v>28</v>
      </c>
      <c r="D379" s="21">
        <v>1</v>
      </c>
      <c r="E379" s="21" t="str">
        <f t="shared" si="10"/>
        <v>Liste!NO1</v>
      </c>
      <c r="F379" s="21">
        <v>379</v>
      </c>
      <c r="G379" s="21" t="s">
        <v>41</v>
      </c>
      <c r="H379" s="21" t="str">
        <f t="shared" si="11"/>
        <v>INDEX(Liste;$E$2;379)</v>
      </c>
    </row>
    <row r="380" spans="1:8" x14ac:dyDescent="0.2">
      <c r="A380" s="21" t="s">
        <v>40</v>
      </c>
      <c r="B380" s="21" t="s">
        <v>7</v>
      </c>
      <c r="C380" s="21" t="s">
        <v>29</v>
      </c>
      <c r="D380" s="21">
        <v>1</v>
      </c>
      <c r="E380" s="21" t="str">
        <f t="shared" si="10"/>
        <v>Liste!NP1</v>
      </c>
      <c r="F380" s="21">
        <v>380</v>
      </c>
      <c r="G380" s="21" t="s">
        <v>41</v>
      </c>
      <c r="H380" s="21" t="str">
        <f t="shared" si="11"/>
        <v>INDEX(Liste;$E$2;380)</v>
      </c>
    </row>
    <row r="381" spans="1:8" x14ac:dyDescent="0.2">
      <c r="A381" s="21" t="s">
        <v>40</v>
      </c>
      <c r="B381" s="21" t="s">
        <v>7</v>
      </c>
      <c r="C381" s="21" t="s">
        <v>30</v>
      </c>
      <c r="D381" s="21">
        <v>1</v>
      </c>
      <c r="E381" s="21" t="str">
        <f t="shared" si="10"/>
        <v>Liste!NQ1</v>
      </c>
      <c r="F381" s="21">
        <v>381</v>
      </c>
      <c r="G381" s="21" t="s">
        <v>41</v>
      </c>
      <c r="H381" s="21" t="str">
        <f t="shared" si="11"/>
        <v>INDEX(Liste;$E$2;381)</v>
      </c>
    </row>
    <row r="382" spans="1:8" x14ac:dyDescent="0.2">
      <c r="A382" s="21" t="s">
        <v>40</v>
      </c>
      <c r="B382" s="21" t="s">
        <v>7</v>
      </c>
      <c r="C382" s="21" t="s">
        <v>31</v>
      </c>
      <c r="D382" s="21">
        <v>1</v>
      </c>
      <c r="E382" s="21" t="str">
        <f t="shared" si="10"/>
        <v>Liste!NR1</v>
      </c>
      <c r="F382" s="21">
        <v>382</v>
      </c>
      <c r="G382" s="21" t="s">
        <v>41</v>
      </c>
      <c r="H382" s="21" t="str">
        <f t="shared" si="11"/>
        <v>INDEX(Liste;$E$2;382)</v>
      </c>
    </row>
    <row r="383" spans="1:8" x14ac:dyDescent="0.2">
      <c r="A383" s="21" t="s">
        <v>40</v>
      </c>
      <c r="B383" s="21" t="s">
        <v>7</v>
      </c>
      <c r="C383" s="21" t="s">
        <v>32</v>
      </c>
      <c r="D383" s="21">
        <v>1</v>
      </c>
      <c r="E383" s="21" t="str">
        <f t="shared" si="10"/>
        <v>Liste!NS1</v>
      </c>
      <c r="F383" s="21">
        <v>383</v>
      </c>
      <c r="G383" s="21" t="s">
        <v>41</v>
      </c>
      <c r="H383" s="21" t="str">
        <f t="shared" si="11"/>
        <v>INDEX(Liste;$E$2;383)</v>
      </c>
    </row>
    <row r="384" spans="1:8" x14ac:dyDescent="0.2">
      <c r="A384" s="21" t="s">
        <v>40</v>
      </c>
      <c r="B384" s="21" t="s">
        <v>7</v>
      </c>
      <c r="C384" s="21" t="s">
        <v>33</v>
      </c>
      <c r="D384" s="21">
        <v>1</v>
      </c>
      <c r="E384" s="21" t="str">
        <f t="shared" si="10"/>
        <v>Liste!NT1</v>
      </c>
      <c r="F384" s="21">
        <v>384</v>
      </c>
      <c r="G384" s="21" t="s">
        <v>41</v>
      </c>
      <c r="H384" s="21" t="str">
        <f t="shared" si="11"/>
        <v>INDEX(Liste;$E$2;384)</v>
      </c>
    </row>
    <row r="385" spans="1:8" x14ac:dyDescent="0.2">
      <c r="A385" s="21" t="s">
        <v>40</v>
      </c>
      <c r="B385" s="21" t="s">
        <v>7</v>
      </c>
      <c r="C385" s="21" t="s">
        <v>34</v>
      </c>
      <c r="D385" s="21">
        <v>1</v>
      </c>
      <c r="E385" s="21" t="str">
        <f t="shared" si="10"/>
        <v>Liste!NU1</v>
      </c>
      <c r="F385" s="21">
        <v>385</v>
      </c>
      <c r="G385" s="21" t="s">
        <v>41</v>
      </c>
      <c r="H385" s="21" t="str">
        <f t="shared" si="11"/>
        <v>INDEX(Liste;$E$2;385)</v>
      </c>
    </row>
    <row r="386" spans="1:8" x14ac:dyDescent="0.2">
      <c r="A386" s="21" t="s">
        <v>40</v>
      </c>
      <c r="B386" s="21" t="s">
        <v>7</v>
      </c>
      <c r="C386" s="21" t="s">
        <v>35</v>
      </c>
      <c r="D386" s="21">
        <v>1</v>
      </c>
      <c r="E386" s="21" t="str">
        <f t="shared" ref="E386:E416" si="12">A386&amp;B386&amp;C386&amp;D386</f>
        <v>Liste!NV1</v>
      </c>
      <c r="F386" s="21">
        <v>386</v>
      </c>
      <c r="G386" s="21" t="s">
        <v>41</v>
      </c>
      <c r="H386" s="21" t="str">
        <f t="shared" si="11"/>
        <v>INDEX(Liste;$E$2;386)</v>
      </c>
    </row>
    <row r="387" spans="1:8" x14ac:dyDescent="0.2">
      <c r="A387" s="21" t="s">
        <v>40</v>
      </c>
      <c r="B387" s="21" t="s">
        <v>7</v>
      </c>
      <c r="C387" s="21" t="s">
        <v>36</v>
      </c>
      <c r="D387" s="21">
        <v>1</v>
      </c>
      <c r="E387" s="21" t="str">
        <f t="shared" si="12"/>
        <v>Liste!NW1</v>
      </c>
      <c r="F387" s="21">
        <v>387</v>
      </c>
      <c r="G387" s="21" t="s">
        <v>41</v>
      </c>
      <c r="H387" s="21" t="str">
        <f t="shared" ref="H387:H416" si="13">G387&amp;F387&amp;")"</f>
        <v>INDEX(Liste;$E$2;387)</v>
      </c>
    </row>
    <row r="388" spans="1:8" x14ac:dyDescent="0.2">
      <c r="A388" s="21" t="s">
        <v>40</v>
      </c>
      <c r="B388" s="21" t="s">
        <v>7</v>
      </c>
      <c r="C388" s="21" t="s">
        <v>37</v>
      </c>
      <c r="D388" s="21">
        <v>1</v>
      </c>
      <c r="E388" s="21" t="str">
        <f t="shared" si="12"/>
        <v>Liste!NX1</v>
      </c>
      <c r="F388" s="21">
        <v>388</v>
      </c>
      <c r="G388" s="21" t="s">
        <v>41</v>
      </c>
      <c r="H388" s="21" t="str">
        <f t="shared" si="13"/>
        <v>INDEX(Liste;$E$2;388)</v>
      </c>
    </row>
    <row r="389" spans="1:8" x14ac:dyDescent="0.2">
      <c r="A389" s="21" t="s">
        <v>40</v>
      </c>
      <c r="B389" s="21" t="s">
        <v>7</v>
      </c>
      <c r="C389" s="21" t="s">
        <v>38</v>
      </c>
      <c r="D389" s="21">
        <v>1</v>
      </c>
      <c r="E389" s="21" t="str">
        <f t="shared" si="12"/>
        <v>Liste!NY1</v>
      </c>
      <c r="F389" s="21">
        <v>389</v>
      </c>
      <c r="G389" s="21" t="s">
        <v>41</v>
      </c>
      <c r="H389" s="21" t="str">
        <f t="shared" si="13"/>
        <v>INDEX(Liste;$E$2;389)</v>
      </c>
    </row>
    <row r="390" spans="1:8" x14ac:dyDescent="0.2">
      <c r="A390" s="21" t="s">
        <v>40</v>
      </c>
      <c r="B390" s="21" t="s">
        <v>7</v>
      </c>
      <c r="C390" s="21" t="s">
        <v>39</v>
      </c>
      <c r="D390" s="21">
        <v>1</v>
      </c>
      <c r="E390" s="21" t="str">
        <f t="shared" si="12"/>
        <v>Liste!NZ1</v>
      </c>
      <c r="F390" s="21">
        <v>390</v>
      </c>
      <c r="G390" s="21" t="s">
        <v>41</v>
      </c>
      <c r="H390" s="21" t="str">
        <f t="shared" si="13"/>
        <v>INDEX(Liste;$E$2;390)</v>
      </c>
    </row>
    <row r="391" spans="1:8" x14ac:dyDescent="0.2">
      <c r="A391" s="21" t="s">
        <v>40</v>
      </c>
      <c r="B391" t="s">
        <v>28</v>
      </c>
      <c r="C391" s="21" t="s">
        <v>15</v>
      </c>
      <c r="D391" s="21">
        <v>1</v>
      </c>
      <c r="E391" s="21" t="str">
        <f t="shared" si="12"/>
        <v>Liste!OA1</v>
      </c>
      <c r="F391" s="21">
        <v>391</v>
      </c>
      <c r="G391" s="21" t="s">
        <v>41</v>
      </c>
      <c r="H391" s="21" t="str">
        <f t="shared" si="13"/>
        <v>INDEX(Liste;$E$2;391)</v>
      </c>
    </row>
    <row r="392" spans="1:8" x14ac:dyDescent="0.2">
      <c r="A392" s="21" t="s">
        <v>40</v>
      </c>
      <c r="B392" s="21" t="s">
        <v>28</v>
      </c>
      <c r="C392" s="21" t="s">
        <v>16</v>
      </c>
      <c r="D392" s="21">
        <v>1</v>
      </c>
      <c r="E392" s="21" t="str">
        <f t="shared" si="12"/>
        <v>Liste!OB1</v>
      </c>
      <c r="F392" s="21">
        <v>392</v>
      </c>
      <c r="G392" s="21" t="s">
        <v>41</v>
      </c>
      <c r="H392" s="21" t="str">
        <f t="shared" si="13"/>
        <v>INDEX(Liste;$E$2;392)</v>
      </c>
    </row>
    <row r="393" spans="1:8" x14ac:dyDescent="0.2">
      <c r="A393" s="21" t="s">
        <v>40</v>
      </c>
      <c r="B393" s="21" t="s">
        <v>28</v>
      </c>
      <c r="C393" s="21" t="s">
        <v>17</v>
      </c>
      <c r="D393" s="21">
        <v>1</v>
      </c>
      <c r="E393" s="21" t="str">
        <f t="shared" si="12"/>
        <v>Liste!OC1</v>
      </c>
      <c r="F393" s="21">
        <v>393</v>
      </c>
      <c r="G393" s="21" t="s">
        <v>41</v>
      </c>
      <c r="H393" s="21" t="str">
        <f t="shared" si="13"/>
        <v>INDEX(Liste;$E$2;393)</v>
      </c>
    </row>
    <row r="394" spans="1:8" x14ac:dyDescent="0.2">
      <c r="A394" s="21" t="s">
        <v>40</v>
      </c>
      <c r="B394" s="21" t="s">
        <v>28</v>
      </c>
      <c r="C394" s="21" t="s">
        <v>18</v>
      </c>
      <c r="D394" s="21">
        <v>1</v>
      </c>
      <c r="E394" s="21" t="str">
        <f t="shared" si="12"/>
        <v>Liste!OD1</v>
      </c>
      <c r="F394" s="21">
        <v>394</v>
      </c>
      <c r="G394" s="21" t="s">
        <v>41</v>
      </c>
      <c r="H394" s="21" t="str">
        <f t="shared" si="13"/>
        <v>INDEX(Liste;$E$2;394)</v>
      </c>
    </row>
    <row r="395" spans="1:8" x14ac:dyDescent="0.2">
      <c r="A395" s="21" t="s">
        <v>40</v>
      </c>
      <c r="B395" s="21" t="s">
        <v>28</v>
      </c>
      <c r="C395" s="21" t="s">
        <v>19</v>
      </c>
      <c r="D395" s="21">
        <v>1</v>
      </c>
      <c r="E395" s="21" t="str">
        <f t="shared" si="12"/>
        <v>Liste!OE1</v>
      </c>
      <c r="F395" s="21">
        <v>395</v>
      </c>
      <c r="G395" s="21" t="s">
        <v>41</v>
      </c>
      <c r="H395" s="21" t="str">
        <f t="shared" si="13"/>
        <v>INDEX(Liste;$E$2;395)</v>
      </c>
    </row>
    <row r="396" spans="1:8" x14ac:dyDescent="0.2">
      <c r="A396" s="21" t="s">
        <v>40</v>
      </c>
      <c r="B396" s="21" t="s">
        <v>28</v>
      </c>
      <c r="C396" s="21" t="s">
        <v>20</v>
      </c>
      <c r="D396" s="21">
        <v>1</v>
      </c>
      <c r="E396" s="21" t="str">
        <f t="shared" si="12"/>
        <v>Liste!OF1</v>
      </c>
      <c r="F396" s="21">
        <v>396</v>
      </c>
      <c r="G396" s="21" t="s">
        <v>41</v>
      </c>
      <c r="H396" s="21" t="str">
        <f t="shared" si="13"/>
        <v>INDEX(Liste;$E$2;396)</v>
      </c>
    </row>
    <row r="397" spans="1:8" x14ac:dyDescent="0.2">
      <c r="A397" s="21" t="s">
        <v>40</v>
      </c>
      <c r="B397" s="21" t="s">
        <v>28</v>
      </c>
      <c r="C397" s="21" t="s">
        <v>21</v>
      </c>
      <c r="D397" s="21">
        <v>1</v>
      </c>
      <c r="E397" s="21" t="str">
        <f t="shared" si="12"/>
        <v>Liste!OG1</v>
      </c>
      <c r="F397" s="21">
        <v>397</v>
      </c>
      <c r="G397" s="21" t="s">
        <v>41</v>
      </c>
      <c r="H397" s="21" t="str">
        <f t="shared" si="13"/>
        <v>INDEX(Liste;$E$2;397)</v>
      </c>
    </row>
    <row r="398" spans="1:8" x14ac:dyDescent="0.2">
      <c r="A398" s="21" t="s">
        <v>40</v>
      </c>
      <c r="B398" s="21" t="s">
        <v>28</v>
      </c>
      <c r="C398" s="21" t="s">
        <v>22</v>
      </c>
      <c r="D398" s="21">
        <v>1</v>
      </c>
      <c r="E398" s="21" t="str">
        <f t="shared" si="12"/>
        <v>Liste!OH1</v>
      </c>
      <c r="F398" s="21">
        <v>398</v>
      </c>
      <c r="G398" s="21" t="s">
        <v>41</v>
      </c>
      <c r="H398" s="21" t="str">
        <f t="shared" si="13"/>
        <v>INDEX(Liste;$E$2;398)</v>
      </c>
    </row>
    <row r="399" spans="1:8" x14ac:dyDescent="0.2">
      <c r="A399" s="21" t="s">
        <v>40</v>
      </c>
      <c r="B399" s="21" t="s">
        <v>28</v>
      </c>
      <c r="C399" s="21" t="s">
        <v>23</v>
      </c>
      <c r="D399" s="21">
        <v>1</v>
      </c>
      <c r="E399" s="21" t="str">
        <f t="shared" si="12"/>
        <v>Liste!OI1</v>
      </c>
      <c r="F399" s="21">
        <v>399</v>
      </c>
      <c r="G399" s="21" t="s">
        <v>41</v>
      </c>
      <c r="H399" s="21" t="str">
        <f t="shared" si="13"/>
        <v>INDEX(Liste;$E$2;399)</v>
      </c>
    </row>
    <row r="400" spans="1:8" x14ac:dyDescent="0.2">
      <c r="A400" s="21" t="s">
        <v>40</v>
      </c>
      <c r="B400" s="21" t="s">
        <v>28</v>
      </c>
      <c r="C400" s="21" t="s">
        <v>24</v>
      </c>
      <c r="D400" s="21">
        <v>1</v>
      </c>
      <c r="E400" s="21" t="str">
        <f t="shared" si="12"/>
        <v>Liste!OJ1</v>
      </c>
      <c r="F400" s="21">
        <v>400</v>
      </c>
      <c r="G400" s="21" t="s">
        <v>41</v>
      </c>
      <c r="H400" s="21" t="str">
        <f t="shared" si="13"/>
        <v>INDEX(Liste;$E$2;400)</v>
      </c>
    </row>
    <row r="401" spans="1:8" x14ac:dyDescent="0.2">
      <c r="A401" s="21" t="s">
        <v>40</v>
      </c>
      <c r="B401" s="21" t="s">
        <v>28</v>
      </c>
      <c r="C401" s="21" t="s">
        <v>25</v>
      </c>
      <c r="D401" s="21">
        <v>1</v>
      </c>
      <c r="E401" s="21" t="str">
        <f t="shared" si="12"/>
        <v>Liste!OK1</v>
      </c>
      <c r="F401" s="21">
        <v>401</v>
      </c>
      <c r="G401" s="21" t="s">
        <v>41</v>
      </c>
      <c r="H401" s="21" t="str">
        <f t="shared" si="13"/>
        <v>INDEX(Liste;$E$2;401)</v>
      </c>
    </row>
    <row r="402" spans="1:8" x14ac:dyDescent="0.2">
      <c r="A402" s="21" t="s">
        <v>40</v>
      </c>
      <c r="B402" s="21" t="s">
        <v>28</v>
      </c>
      <c r="C402" s="21" t="s">
        <v>26</v>
      </c>
      <c r="D402" s="21">
        <v>1</v>
      </c>
      <c r="E402" s="21" t="str">
        <f t="shared" si="12"/>
        <v>Liste!OL1</v>
      </c>
      <c r="F402" s="21">
        <v>402</v>
      </c>
      <c r="G402" s="21" t="s">
        <v>41</v>
      </c>
      <c r="H402" s="21" t="str">
        <f t="shared" si="13"/>
        <v>INDEX(Liste;$E$2;402)</v>
      </c>
    </row>
    <row r="403" spans="1:8" x14ac:dyDescent="0.2">
      <c r="A403" s="21" t="s">
        <v>40</v>
      </c>
      <c r="B403" s="21" t="s">
        <v>28</v>
      </c>
      <c r="C403" s="21" t="s">
        <v>27</v>
      </c>
      <c r="D403" s="21">
        <v>1</v>
      </c>
      <c r="E403" s="21" t="str">
        <f t="shared" si="12"/>
        <v>Liste!OM1</v>
      </c>
      <c r="F403" s="21">
        <v>403</v>
      </c>
      <c r="G403" s="21" t="s">
        <v>41</v>
      </c>
      <c r="H403" s="21" t="str">
        <f t="shared" si="13"/>
        <v>INDEX(Liste;$E$2;403)</v>
      </c>
    </row>
    <row r="404" spans="1:8" x14ac:dyDescent="0.2">
      <c r="A404" s="21" t="s">
        <v>40</v>
      </c>
      <c r="B404" s="21" t="s">
        <v>28</v>
      </c>
      <c r="C404" s="21" t="s">
        <v>7</v>
      </c>
      <c r="D404" s="21">
        <v>1</v>
      </c>
      <c r="E404" s="21" t="str">
        <f t="shared" si="12"/>
        <v>Liste!ON1</v>
      </c>
      <c r="F404" s="21">
        <v>404</v>
      </c>
      <c r="G404" s="21" t="s">
        <v>41</v>
      </c>
      <c r="H404" s="21" t="str">
        <f t="shared" si="13"/>
        <v>INDEX(Liste;$E$2;404)</v>
      </c>
    </row>
    <row r="405" spans="1:8" x14ac:dyDescent="0.2">
      <c r="A405" s="21" t="s">
        <v>40</v>
      </c>
      <c r="B405" s="21" t="s">
        <v>28</v>
      </c>
      <c r="C405" s="21" t="s">
        <v>28</v>
      </c>
      <c r="D405" s="21">
        <v>1</v>
      </c>
      <c r="E405" s="21" t="str">
        <f t="shared" si="12"/>
        <v>Liste!OO1</v>
      </c>
      <c r="F405" s="21">
        <v>405</v>
      </c>
      <c r="G405" s="21" t="s">
        <v>41</v>
      </c>
      <c r="H405" s="21" t="str">
        <f t="shared" si="13"/>
        <v>INDEX(Liste;$E$2;405)</v>
      </c>
    </row>
    <row r="406" spans="1:8" x14ac:dyDescent="0.2">
      <c r="A406" s="21" t="s">
        <v>40</v>
      </c>
      <c r="B406" s="21" t="s">
        <v>28</v>
      </c>
      <c r="C406" s="21" t="s">
        <v>29</v>
      </c>
      <c r="D406" s="21">
        <v>1</v>
      </c>
      <c r="E406" s="21" t="str">
        <f t="shared" si="12"/>
        <v>Liste!OP1</v>
      </c>
      <c r="F406" s="21">
        <v>406</v>
      </c>
      <c r="G406" s="21" t="s">
        <v>41</v>
      </c>
      <c r="H406" s="21" t="str">
        <f t="shared" si="13"/>
        <v>INDEX(Liste;$E$2;406)</v>
      </c>
    </row>
    <row r="407" spans="1:8" x14ac:dyDescent="0.2">
      <c r="A407" s="21" t="s">
        <v>40</v>
      </c>
      <c r="B407" s="21" t="s">
        <v>28</v>
      </c>
      <c r="C407" s="21" t="s">
        <v>30</v>
      </c>
      <c r="D407" s="21">
        <v>1</v>
      </c>
      <c r="E407" s="21" t="str">
        <f t="shared" si="12"/>
        <v>Liste!OQ1</v>
      </c>
      <c r="F407" s="21">
        <v>407</v>
      </c>
      <c r="G407" s="21" t="s">
        <v>41</v>
      </c>
      <c r="H407" s="21" t="str">
        <f t="shared" si="13"/>
        <v>INDEX(Liste;$E$2;407)</v>
      </c>
    </row>
    <row r="408" spans="1:8" x14ac:dyDescent="0.2">
      <c r="A408" s="21" t="s">
        <v>40</v>
      </c>
      <c r="B408" s="21" t="s">
        <v>28</v>
      </c>
      <c r="C408" s="21" t="s">
        <v>31</v>
      </c>
      <c r="D408" s="21">
        <v>1</v>
      </c>
      <c r="E408" s="21" t="str">
        <f t="shared" si="12"/>
        <v>Liste!OR1</v>
      </c>
      <c r="F408" s="21">
        <v>408</v>
      </c>
      <c r="G408" s="21" t="s">
        <v>41</v>
      </c>
      <c r="H408" s="21" t="str">
        <f t="shared" si="13"/>
        <v>INDEX(Liste;$E$2;408)</v>
      </c>
    </row>
    <row r="409" spans="1:8" x14ac:dyDescent="0.2">
      <c r="A409" s="21" t="s">
        <v>40</v>
      </c>
      <c r="B409" s="21" t="s">
        <v>28</v>
      </c>
      <c r="C409" s="21" t="s">
        <v>32</v>
      </c>
      <c r="D409" s="21">
        <v>1</v>
      </c>
      <c r="E409" s="21" t="str">
        <f t="shared" si="12"/>
        <v>Liste!OS1</v>
      </c>
      <c r="F409" s="21">
        <v>409</v>
      </c>
      <c r="G409" s="21" t="s">
        <v>41</v>
      </c>
      <c r="H409" s="21" t="str">
        <f t="shared" si="13"/>
        <v>INDEX(Liste;$E$2;409)</v>
      </c>
    </row>
    <row r="410" spans="1:8" x14ac:dyDescent="0.2">
      <c r="A410" s="21" t="s">
        <v>40</v>
      </c>
      <c r="B410" s="21" t="s">
        <v>28</v>
      </c>
      <c r="C410" s="21" t="s">
        <v>33</v>
      </c>
      <c r="D410" s="21">
        <v>1</v>
      </c>
      <c r="E410" s="21" t="str">
        <f t="shared" si="12"/>
        <v>Liste!OT1</v>
      </c>
      <c r="F410" s="21">
        <v>410</v>
      </c>
      <c r="G410" s="21" t="s">
        <v>41</v>
      </c>
      <c r="H410" s="21" t="str">
        <f t="shared" si="13"/>
        <v>INDEX(Liste;$E$2;410)</v>
      </c>
    </row>
    <row r="411" spans="1:8" x14ac:dyDescent="0.2">
      <c r="A411" s="21" t="s">
        <v>40</v>
      </c>
      <c r="B411" s="21" t="s">
        <v>28</v>
      </c>
      <c r="C411" s="21" t="s">
        <v>34</v>
      </c>
      <c r="D411" s="21">
        <v>1</v>
      </c>
      <c r="E411" s="21" t="str">
        <f t="shared" si="12"/>
        <v>Liste!OU1</v>
      </c>
      <c r="F411" s="21">
        <v>411</v>
      </c>
      <c r="G411" s="21" t="s">
        <v>41</v>
      </c>
      <c r="H411" s="21" t="str">
        <f t="shared" si="13"/>
        <v>INDEX(Liste;$E$2;411)</v>
      </c>
    </row>
    <row r="412" spans="1:8" x14ac:dyDescent="0.2">
      <c r="A412" s="21" t="s">
        <v>40</v>
      </c>
      <c r="B412" s="21" t="s">
        <v>28</v>
      </c>
      <c r="C412" s="21" t="s">
        <v>35</v>
      </c>
      <c r="D412" s="21">
        <v>1</v>
      </c>
      <c r="E412" s="21" t="str">
        <f t="shared" si="12"/>
        <v>Liste!OV1</v>
      </c>
      <c r="F412" s="21">
        <v>412</v>
      </c>
      <c r="G412" s="21" t="s">
        <v>41</v>
      </c>
      <c r="H412" s="21" t="str">
        <f t="shared" si="13"/>
        <v>INDEX(Liste;$E$2;412)</v>
      </c>
    </row>
    <row r="413" spans="1:8" x14ac:dyDescent="0.2">
      <c r="A413" s="21" t="s">
        <v>40</v>
      </c>
      <c r="B413" s="21" t="s">
        <v>28</v>
      </c>
      <c r="C413" s="21" t="s">
        <v>36</v>
      </c>
      <c r="D413" s="21">
        <v>1</v>
      </c>
      <c r="E413" s="21" t="str">
        <f t="shared" si="12"/>
        <v>Liste!OW1</v>
      </c>
      <c r="F413" s="21">
        <v>413</v>
      </c>
      <c r="G413" s="21" t="s">
        <v>41</v>
      </c>
      <c r="H413" s="21" t="str">
        <f t="shared" si="13"/>
        <v>INDEX(Liste;$E$2;413)</v>
      </c>
    </row>
    <row r="414" spans="1:8" x14ac:dyDescent="0.2">
      <c r="A414" s="21" t="s">
        <v>40</v>
      </c>
      <c r="B414" s="21" t="s">
        <v>28</v>
      </c>
      <c r="C414" s="21" t="s">
        <v>37</v>
      </c>
      <c r="D414" s="21">
        <v>1</v>
      </c>
      <c r="E414" s="21" t="str">
        <f t="shared" si="12"/>
        <v>Liste!OX1</v>
      </c>
      <c r="F414" s="21">
        <v>414</v>
      </c>
      <c r="G414" s="21" t="s">
        <v>41</v>
      </c>
      <c r="H414" s="21" t="str">
        <f t="shared" si="13"/>
        <v>INDEX(Liste;$E$2;414)</v>
      </c>
    </row>
    <row r="415" spans="1:8" x14ac:dyDescent="0.2">
      <c r="A415" s="21" t="s">
        <v>40</v>
      </c>
      <c r="B415" s="21" t="s">
        <v>28</v>
      </c>
      <c r="C415" s="21" t="s">
        <v>38</v>
      </c>
      <c r="D415" s="21">
        <v>1</v>
      </c>
      <c r="E415" s="21" t="str">
        <f t="shared" si="12"/>
        <v>Liste!OY1</v>
      </c>
      <c r="F415" s="21">
        <v>415</v>
      </c>
      <c r="G415" s="21" t="s">
        <v>41</v>
      </c>
      <c r="H415" s="21" t="str">
        <f t="shared" si="13"/>
        <v>INDEX(Liste;$E$2;415)</v>
      </c>
    </row>
    <row r="416" spans="1:8" x14ac:dyDescent="0.2">
      <c r="A416" s="21" t="s">
        <v>40</v>
      </c>
      <c r="B416" s="21" t="s">
        <v>28</v>
      </c>
      <c r="C416" s="21" t="s">
        <v>39</v>
      </c>
      <c r="D416" s="21">
        <v>1</v>
      </c>
      <c r="E416" s="21" t="str">
        <f t="shared" si="12"/>
        <v>Liste!OZ1</v>
      </c>
      <c r="F416" s="21">
        <v>416</v>
      </c>
      <c r="G416" s="21" t="s">
        <v>41</v>
      </c>
      <c r="H416" s="21" t="str">
        <f t="shared" si="13"/>
        <v>INDEX(Liste;$E$2;416)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5</vt:i4>
      </vt:variant>
    </vt:vector>
  </HeadingPairs>
  <TitlesOfParts>
    <vt:vector size="13" baseType="lpstr">
      <vt:lpstr>Agregats</vt:lpstr>
      <vt:lpstr>VUE</vt:lpstr>
      <vt:lpstr>calculs</vt:lpstr>
      <vt:lpstr>LISTE</vt:lpstr>
      <vt:lpstr>Transco</vt:lpstr>
      <vt:lpstr>Code INPI</vt:lpstr>
      <vt:lpstr>Aide</vt:lpstr>
      <vt:lpstr>Feuil1</vt:lpstr>
      <vt:lpstr>Agrégats</vt:lpstr>
      <vt:lpstr>Agrégats2</vt:lpstr>
      <vt:lpstr>Calculs</vt:lpstr>
      <vt:lpstr>Agregats!Zone_d_impression</vt:lpstr>
      <vt:lpstr>VUE!Zone_d_impression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DVDRisk List Benchmark</dc:title>
  <dc:subject>Comparateur de Liste issue du DVDRisk</dc:subject>
  <dc:creator>FP, IDM</dc:creator>
  <cp:lastModifiedBy>Paresy Frederic</cp:lastModifiedBy>
  <cp:lastPrinted>2018-02-08T08:51:48Z</cp:lastPrinted>
  <dcterms:created xsi:type="dcterms:W3CDTF">2010-12-14T16:28:22Z</dcterms:created>
  <dcterms:modified xsi:type="dcterms:W3CDTF">2019-03-03T21:41:02Z</dcterms:modified>
</cp:coreProperties>
</file>